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60" windowWidth="10635" windowHeight="5520"/>
  </bookViews>
  <sheets>
    <sheet name="單日或連續差單" sheetId="1" r:id="rId1"/>
    <sheet name="三日內非連續差單" sheetId="5" r:id="rId2"/>
    <sheet name="差旅車資查詢表" sheetId="7" r:id="rId3"/>
    <sheet name="旅費支領標準一覽表" sheetId="6" r:id="rId4"/>
  </sheets>
  <definedNames>
    <definedName name="_xlnm._FilterDatabase" localSheetId="1" hidden="1">三日內非連續差單!$A$1:$AJ$31</definedName>
    <definedName name="_GoBack" localSheetId="3">旅費支領標準一覽表!$A$28</definedName>
    <definedName name="_xlnm.Print_Area" localSheetId="0">單日或連續差單!$A$1:$AM$31</definedName>
  </definedNames>
  <calcPr calcId="125725"/>
</workbook>
</file>

<file path=xl/calcChain.xml><?xml version="1.0" encoding="utf-8"?>
<calcChain xmlns="http://schemas.openxmlformats.org/spreadsheetml/2006/main">
  <c r="AH1" i="1"/>
  <c r="T20" i="5"/>
  <c r="T21"/>
  <c r="T19"/>
  <c r="K26"/>
  <c r="K25"/>
  <c r="K24"/>
  <c r="V20"/>
  <c r="V21"/>
  <c r="V19"/>
  <c r="B26"/>
  <c r="B25"/>
  <c r="A13"/>
  <c r="A11" i="1"/>
  <c r="L18"/>
  <c r="Q18"/>
  <c r="A28"/>
  <c r="Q2"/>
  <c r="A25" i="5"/>
  <c r="D25"/>
  <c r="H25"/>
  <c r="A26"/>
  <c r="D26"/>
  <c r="H26"/>
  <c r="E22"/>
  <c r="Q4"/>
  <c r="AG1"/>
  <c r="Z5" i="1"/>
  <c r="AF17" s="1"/>
  <c r="Z4"/>
  <c r="AF16" s="1"/>
  <c r="H8" i="5"/>
  <c r="H7"/>
  <c r="H6"/>
  <c r="E8"/>
  <c r="E26" s="1"/>
  <c r="E7"/>
  <c r="E25" s="1"/>
  <c r="E6"/>
  <c r="E24" s="1"/>
  <c r="A24"/>
  <c r="B24"/>
  <c r="K6"/>
  <c r="AL4" i="1"/>
  <c r="B24" s="1"/>
  <c r="B21"/>
  <c r="A21"/>
  <c r="D21"/>
  <c r="Y17"/>
  <c r="Y16"/>
  <c r="A19"/>
  <c r="L20" i="5"/>
  <c r="L21"/>
  <c r="K7"/>
  <c r="K8"/>
  <c r="D20"/>
  <c r="D21"/>
  <c r="D19"/>
  <c r="K20"/>
  <c r="K21"/>
  <c r="K19"/>
  <c r="L19"/>
  <c r="U18"/>
  <c r="J18"/>
  <c r="C18"/>
  <c r="H24"/>
  <c r="D24"/>
  <c r="A22"/>
  <c r="A4"/>
  <c r="C16" i="1"/>
  <c r="J16"/>
  <c r="I18"/>
  <c r="AK21" l="1"/>
  <c r="F19" i="5"/>
  <c r="F21"/>
  <c r="AJ24"/>
  <c r="AJ25"/>
  <c r="AJ26"/>
  <c r="Q3"/>
  <c r="AG18" s="1"/>
  <c r="F20"/>
  <c r="A22" i="1"/>
  <c r="B25"/>
  <c r="H22"/>
  <c r="A24"/>
  <c r="AK24" s="1"/>
  <c r="D25"/>
  <c r="H23"/>
  <c r="AJ16"/>
  <c r="B23"/>
  <c r="D22"/>
  <c r="H24"/>
  <c r="D23"/>
  <c r="D24"/>
  <c r="A23"/>
  <c r="H25"/>
  <c r="A25"/>
  <c r="B22"/>
  <c r="AI11" i="5"/>
  <c r="AK23" i="1" l="1"/>
  <c r="AK22"/>
  <c r="AK25"/>
  <c r="AJ27" i="5"/>
  <c r="P16" s="1"/>
  <c r="AK26" i="1" l="1"/>
  <c r="K14" s="1"/>
  <c r="W16" i="5"/>
  <c r="K29"/>
  <c r="U16"/>
  <c r="T16"/>
  <c r="R16"/>
  <c r="L16"/>
  <c r="V14" i="1" l="1"/>
  <c r="T14"/>
  <c r="S14"/>
  <c r="J28"/>
  <c r="Q14"/>
  <c r="O14"/>
</calcChain>
</file>

<file path=xl/comments1.xml><?xml version="1.0" encoding="utf-8"?>
<comments xmlns="http://schemas.openxmlformats.org/spreadsheetml/2006/main">
  <authors>
    <author>User</author>
  </authors>
  <commentList>
    <comment ref="Q3" author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12"/>
            <rFont val="標楷體"/>
            <family val="4"/>
            <charset val="136"/>
          </rPr>
          <t>請填入"鄉鎮市名"或"出差機關名稱"</t>
        </r>
      </text>
    </comment>
    <comment ref="U3" authorId="0">
      <text>
        <r>
          <rPr>
            <sz val="11"/>
            <color indexed="12"/>
            <rFont val="標楷體"/>
            <family val="4"/>
            <charset val="136"/>
          </rPr>
          <t>請選擇"假別"</t>
        </r>
      </text>
    </comment>
    <comment ref="U4" authorId="0">
      <text>
        <r>
          <rPr>
            <sz val="11"/>
            <color indexed="81"/>
            <rFont val="標楷體"/>
            <family val="4"/>
            <charset val="136"/>
          </rPr>
          <t xml:space="preserve">    請注意!!
出差一日以上請選擇--"全日".</t>
        </r>
      </text>
    </comment>
    <comment ref="AH21" authorId="0">
      <text>
        <r>
          <rPr>
            <b/>
            <sz val="10"/>
            <color indexed="81"/>
            <rFont val="細明體"/>
            <family val="3"/>
            <charset val="136"/>
          </rPr>
          <t>"公假"核定單不請領"雜費"!</t>
        </r>
      </text>
    </comment>
    <comment ref="AH22" authorId="0">
      <text>
        <r>
          <rPr>
            <b/>
            <sz val="10"/>
            <color indexed="81"/>
            <rFont val="細明體"/>
            <family val="3"/>
            <charset val="136"/>
          </rPr>
          <t>"公假"核定單不請領"雜費"!</t>
        </r>
      </text>
    </comment>
    <comment ref="AH23" authorId="0">
      <text>
        <r>
          <rPr>
            <b/>
            <sz val="10"/>
            <color indexed="81"/>
            <rFont val="細明體"/>
            <family val="3"/>
            <charset val="136"/>
          </rPr>
          <t>"公假"核定單不請領"雜費"!</t>
        </r>
      </text>
    </comment>
    <comment ref="AH24" authorId="0">
      <text>
        <r>
          <rPr>
            <b/>
            <sz val="10"/>
            <color indexed="81"/>
            <rFont val="細明體"/>
            <family val="3"/>
            <charset val="136"/>
          </rPr>
          <t>"公假"核定單不請領"雜費"!</t>
        </r>
      </text>
    </comment>
    <comment ref="AH25" authorId="0">
      <text>
        <r>
          <rPr>
            <b/>
            <sz val="10"/>
            <color indexed="81"/>
            <rFont val="細明體"/>
            <family val="3"/>
            <charset val="136"/>
          </rPr>
          <t>"公假"核定單不請領"雜費"!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6" author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
   請點選出差時段!!</t>
        </r>
      </text>
    </comment>
    <comment ref="Q6" authorId="0">
      <text>
        <r>
          <rPr>
            <sz val="12"/>
            <color indexed="12"/>
            <rFont val="標楷體"/>
            <family val="4"/>
            <charset val="136"/>
          </rPr>
          <t>請填入"鄉鎮市名"或"出差機關名稱"</t>
        </r>
      </text>
    </comment>
    <comment ref="V6" authorId="0">
      <text>
        <r>
          <rPr>
            <sz val="11"/>
            <color indexed="12"/>
            <rFont val="標楷體"/>
            <family val="4"/>
            <charset val="136"/>
          </rPr>
          <t>請選擇"假別"</t>
        </r>
      </text>
    </comment>
    <comment ref="D7" author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
   請點選出差時段!!</t>
        </r>
      </text>
    </comment>
    <comment ref="Q7" authorId="0">
      <text>
        <r>
          <rPr>
            <sz val="12"/>
            <color indexed="12"/>
            <rFont val="標楷體"/>
            <family val="4"/>
            <charset val="136"/>
          </rPr>
          <t>請填入"鄉鎮市名"或"出差機關名稱"</t>
        </r>
      </text>
    </comment>
    <comment ref="V7" authorId="0">
      <text>
        <r>
          <rPr>
            <sz val="11"/>
            <color indexed="12"/>
            <rFont val="標楷體"/>
            <family val="4"/>
            <charset val="136"/>
          </rPr>
          <t>請選擇"假別"</t>
        </r>
      </text>
    </comment>
    <comment ref="D8" author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
   請點選出差時段!!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Q8" authorId="0">
      <text>
        <r>
          <rPr>
            <sz val="12"/>
            <color indexed="12"/>
            <rFont val="標楷體"/>
            <family val="4"/>
            <charset val="136"/>
          </rPr>
          <t>請填入"鄉鎮市名"或"出差機關名稱"</t>
        </r>
      </text>
    </comment>
    <comment ref="V8" authorId="0">
      <text>
        <r>
          <rPr>
            <sz val="11"/>
            <color indexed="12"/>
            <rFont val="標楷體"/>
            <family val="4"/>
            <charset val="136"/>
          </rPr>
          <t>請選擇"假別"</t>
        </r>
      </text>
    </comment>
    <comment ref="AH24" authorId="0">
      <text>
        <r>
          <rPr>
            <b/>
            <sz val="9"/>
            <color indexed="81"/>
            <rFont val="細明體"/>
            <family val="3"/>
            <charset val="136"/>
          </rPr>
          <t>"公假"核定單不請領"雜費"!</t>
        </r>
      </text>
    </comment>
    <comment ref="AH25" authorId="0">
      <text>
        <r>
          <rPr>
            <b/>
            <sz val="9"/>
            <color indexed="81"/>
            <rFont val="細明體"/>
            <family val="3"/>
            <charset val="136"/>
          </rPr>
          <t>"公假"核定單不請領"雜費"!</t>
        </r>
      </text>
    </comment>
    <comment ref="AH26" authorId="0">
      <text>
        <r>
          <rPr>
            <b/>
            <sz val="9"/>
            <color indexed="81"/>
            <rFont val="細明體"/>
            <family val="3"/>
            <charset val="136"/>
          </rPr>
          <t>"公假"核定單不請領"雜費"!</t>
        </r>
      </text>
    </comment>
  </commentList>
</comments>
</file>

<file path=xl/sharedStrings.xml><?xml version="1.0" encoding="utf-8"?>
<sst xmlns="http://schemas.openxmlformats.org/spreadsheetml/2006/main" count="276" uniqueCount="194">
  <si>
    <t>服務單位</t>
  </si>
  <si>
    <t>職稱</t>
  </si>
  <si>
    <t>姓　　名</t>
  </si>
  <si>
    <t>憑證編號</t>
  </si>
  <si>
    <t>預算科目</t>
  </si>
  <si>
    <t>用途說明</t>
  </si>
  <si>
    <t>十萬</t>
  </si>
  <si>
    <t>萬</t>
  </si>
  <si>
    <t>千</t>
  </si>
  <si>
    <t>十</t>
  </si>
  <si>
    <t>元</t>
  </si>
  <si>
    <t>支付差旅費</t>
  </si>
  <si>
    <t>姓名</t>
  </si>
  <si>
    <t>日期時間</t>
  </si>
  <si>
    <t>起迄地點</t>
  </si>
  <si>
    <t>工作紀要</t>
  </si>
  <si>
    <t>住宿費</t>
  </si>
  <si>
    <t>總計</t>
  </si>
  <si>
    <t>月</t>
  </si>
  <si>
    <t>日</t>
  </si>
  <si>
    <t>火車</t>
  </si>
  <si>
    <t>飛機</t>
  </si>
  <si>
    <t>捷運</t>
  </si>
  <si>
    <t>汽車</t>
  </si>
  <si>
    <t>如差由</t>
  </si>
  <si>
    <t>合計</t>
  </si>
  <si>
    <t>備註</t>
  </si>
  <si>
    <t>自</t>
  </si>
  <si>
    <t>至</t>
  </si>
  <si>
    <t>填</t>
    <phoneticPr fontId="8" type="noConversion"/>
  </si>
  <si>
    <r>
      <t>代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理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人</t>
    </r>
    <phoneticPr fontId="8" type="noConversion"/>
  </si>
  <si>
    <t>教學組長</t>
    <phoneticPr fontId="8" type="noConversion"/>
  </si>
  <si>
    <t>單位主管</t>
    <phoneticPr fontId="8" type="noConversion"/>
  </si>
  <si>
    <r>
      <t>校</t>
    </r>
    <r>
      <rPr>
        <sz val="13"/>
        <rFont val="Times New Roman"/>
        <family val="1"/>
      </rPr>
      <t xml:space="preserve">        </t>
    </r>
    <r>
      <rPr>
        <sz val="13"/>
        <rFont val="標楷體"/>
        <family val="4"/>
        <charset val="136"/>
      </rPr>
      <t>長</t>
    </r>
    <phoneticPr fontId="8" type="noConversion"/>
  </si>
  <si>
    <t>人事室簽證
及職級核符</t>
    <phoneticPr fontId="8" type="noConversion"/>
  </si>
  <si>
    <t xml:space="preserve"> </t>
    <phoneticPr fontId="8" type="noConversion"/>
  </si>
  <si>
    <r>
      <t>金</t>
    </r>
    <r>
      <rPr>
        <sz val="11"/>
        <rFont val="Times New Roman"/>
        <family val="1"/>
      </rPr>
      <t xml:space="preserve">                  </t>
    </r>
    <r>
      <rPr>
        <sz val="11"/>
        <rFont val="標楷體"/>
        <family val="4"/>
        <charset val="136"/>
      </rPr>
      <t>額</t>
    </r>
    <phoneticPr fontId="8" type="noConversion"/>
  </si>
  <si>
    <t>百</t>
    <phoneticPr fontId="8" type="noConversion"/>
  </si>
  <si>
    <r>
      <t>交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通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費</t>
    </r>
    <phoneticPr fontId="8" type="noConversion"/>
  </si>
  <si>
    <t>上列出差旅費計新台幣</t>
    <phoneticPr fontId="8" type="noConversion"/>
  </si>
  <si>
    <r>
      <t>元整</t>
    </r>
    <r>
      <rPr>
        <sz val="13.5"/>
        <rFont val="Times New Roman"/>
        <family val="1"/>
      </rPr>
      <t xml:space="preserve"> </t>
    </r>
    <r>
      <rPr>
        <sz val="13.5"/>
        <rFont val="標楷體"/>
        <family val="4"/>
        <charset val="136"/>
      </rPr>
      <t>業經如數收訖具領人(簽章)</t>
    </r>
    <phoneticPr fontId="8" type="noConversion"/>
  </si>
  <si>
    <r>
      <t>會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計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審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核</t>
    </r>
    <phoneticPr fontId="8" type="noConversion"/>
  </si>
  <si>
    <r>
      <t>校</t>
    </r>
    <r>
      <rPr>
        <sz val="13"/>
        <rFont val="Times New Roman"/>
        <family val="1"/>
      </rPr>
      <t xml:space="preserve">        </t>
    </r>
    <r>
      <rPr>
        <sz val="13"/>
        <rFont val="標楷體"/>
        <family val="4"/>
        <charset val="136"/>
      </rPr>
      <t>長</t>
    </r>
    <phoneticPr fontId="8" type="noConversion"/>
  </si>
  <si>
    <r>
      <t xml:space="preserve">   </t>
    </r>
    <r>
      <rPr>
        <sz val="13"/>
        <color indexed="9"/>
        <rFont val="標楷體"/>
        <family val="4"/>
        <charset val="136"/>
      </rPr>
      <t>依據</t>
    </r>
    <r>
      <rPr>
        <sz val="13"/>
        <color indexed="9"/>
        <rFont val="Times New Roman"/>
        <family val="1"/>
      </rPr>
      <t xml:space="preserve"> 100.12.2</t>
    </r>
    <r>
      <rPr>
        <sz val="13"/>
        <color indexed="9"/>
        <rFont val="標楷體"/>
        <family val="4"/>
        <charset val="136"/>
      </rPr>
      <t>府教小字第</t>
    </r>
    <r>
      <rPr>
        <sz val="13"/>
        <color indexed="9"/>
        <rFont val="Times New Roman"/>
        <family val="1"/>
      </rPr>
      <t xml:space="preserve">1000493767 </t>
    </r>
    <r>
      <rPr>
        <sz val="13"/>
        <color indexed="9"/>
        <rFont val="標楷體"/>
        <family val="4"/>
        <charset val="136"/>
      </rPr>
      <t>號函辦理</t>
    </r>
    <phoneticPr fontId="8" type="noConversion"/>
  </si>
  <si>
    <t>單 位 主 管</t>
  </si>
  <si>
    <t>人 事 審 核</t>
    <phoneticPr fontId="8" type="noConversion"/>
  </si>
  <si>
    <t>共</t>
    <phoneticPr fontId="8" type="noConversion"/>
  </si>
  <si>
    <t>日期及時間</t>
    <phoneticPr fontId="8" type="noConversion"/>
  </si>
  <si>
    <t>至</t>
    <phoneticPr fontId="8" type="noConversion"/>
  </si>
  <si>
    <t>時段</t>
    <phoneticPr fontId="8" type="noConversion"/>
  </si>
  <si>
    <t>&lt;需派代或調課&gt;</t>
    <phoneticPr fontId="8" type="noConversion"/>
  </si>
  <si>
    <r>
      <t>代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理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人</t>
    </r>
    <phoneticPr fontId="8" type="noConversion"/>
  </si>
  <si>
    <t>單位主管</t>
    <phoneticPr fontId="8" type="noConversion"/>
  </si>
  <si>
    <r>
      <t>校</t>
    </r>
    <r>
      <rPr>
        <sz val="14"/>
        <rFont val="Times New Roman"/>
        <family val="1"/>
      </rPr>
      <t xml:space="preserve">        </t>
    </r>
    <r>
      <rPr>
        <sz val="14"/>
        <rFont val="標楷體"/>
        <family val="4"/>
        <charset val="136"/>
      </rPr>
      <t>長</t>
    </r>
    <phoneticPr fontId="8" type="noConversion"/>
  </si>
  <si>
    <t>工作紀要</t>
    <phoneticPr fontId="8" type="noConversion"/>
  </si>
  <si>
    <t>備註</t>
    <phoneticPr fontId="8" type="noConversion"/>
  </si>
  <si>
    <t>交    通    費</t>
  </si>
  <si>
    <t>業務費-國內旅費</t>
    <phoneticPr fontId="8" type="noConversion"/>
  </si>
  <si>
    <t>人 事 審 核</t>
    <phoneticPr fontId="8" type="noConversion"/>
  </si>
  <si>
    <r>
      <t>會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計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審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核</t>
    </r>
    <phoneticPr fontId="8" type="noConversion"/>
  </si>
  <si>
    <r>
      <t>金</t>
    </r>
    <r>
      <rPr>
        <sz val="12"/>
        <rFont val="Times New Roman"/>
        <family val="1"/>
      </rPr>
      <t xml:space="preserve">                  </t>
    </r>
    <r>
      <rPr>
        <sz val="12"/>
        <rFont val="標楷體"/>
        <family val="4"/>
        <charset val="136"/>
      </rPr>
      <t>額</t>
    </r>
    <phoneticPr fontId="8" type="noConversion"/>
  </si>
  <si>
    <t>附單據    張</t>
    <phoneticPr fontId="8" type="noConversion"/>
  </si>
  <si>
    <t>起始時間</t>
    <phoneticPr fontId="8" type="noConversion"/>
  </si>
  <si>
    <t>單位</t>
    <phoneticPr fontId="8" type="noConversion"/>
  </si>
  <si>
    <t>200291學校行政-</t>
    <phoneticPr fontId="8" type="noConversion"/>
  </si>
  <si>
    <t>至</t>
    <phoneticPr fontId="8" type="noConversion"/>
  </si>
  <si>
    <t>日</t>
    <phoneticPr fontId="8" type="noConversion"/>
  </si>
  <si>
    <t>附單據 　張</t>
    <phoneticPr fontId="8" type="noConversion"/>
  </si>
  <si>
    <t>火車</t>
    <phoneticPr fontId="8" type="noConversion"/>
  </si>
  <si>
    <t>飛機</t>
    <phoneticPr fontId="8" type="noConversion"/>
  </si>
  <si>
    <t>交通費</t>
    <phoneticPr fontId="8" type="noConversion"/>
  </si>
  <si>
    <t>起</t>
    <phoneticPr fontId="8" type="noConversion"/>
  </si>
  <si>
    <t>止</t>
    <phoneticPr fontId="8" type="noConversion"/>
  </si>
  <si>
    <t>年</t>
    <phoneticPr fontId="8" type="noConversion"/>
  </si>
  <si>
    <t>月</t>
    <phoneticPr fontId="8" type="noConversion"/>
  </si>
  <si>
    <t>迄止時間</t>
    <phoneticPr fontId="8" type="noConversion"/>
  </si>
  <si>
    <t>全日</t>
  </si>
  <si>
    <t>自</t>
    <phoneticPr fontId="8" type="noConversion"/>
  </si>
  <si>
    <t>（1）出差人應先經代理人蓋章後始得層轉。  (2)本單騎縫處應請人事室蓋章。 （3）本聯由人事室截留。
（4）出差當日如有課務，請至教務處填寫調（補）課登記簿。</t>
    <phoneticPr fontId="8" type="noConversion"/>
  </si>
  <si>
    <t>雜費</t>
    <phoneticPr fontId="8" type="noConversion"/>
  </si>
  <si>
    <t>類別</t>
  </si>
  <si>
    <t>事由</t>
  </si>
  <si>
    <t>差旅費支領項目</t>
  </si>
  <si>
    <t>交通費</t>
  </si>
  <si>
    <t>雜費</t>
  </si>
  <si>
    <t>公假</t>
  </si>
  <si>
    <t>奉派以公假登記參加訓練或講習性質之各項研習活動</t>
  </si>
  <si>
    <r>
      <t xml:space="preserve">X </t>
    </r>
    <r>
      <rPr>
        <sz val="12"/>
        <rFont val="新細明體"/>
        <family val="1"/>
        <charset val="136"/>
      </rPr>
      <t>不支領</t>
    </r>
  </si>
  <si>
    <r>
      <t>1.事先填具</t>
    </r>
    <r>
      <rPr>
        <b/>
        <u/>
        <sz val="12"/>
        <rFont val="新細明體"/>
        <family val="1"/>
        <charset val="136"/>
      </rPr>
      <t>差旅單</t>
    </r>
    <r>
      <rPr>
        <sz val="12"/>
        <rFont val="新細明體"/>
        <family val="1"/>
        <charset val="136"/>
      </rPr>
      <t>，併同</t>
    </r>
    <r>
      <rPr>
        <b/>
        <u/>
        <sz val="12"/>
        <color indexed="8"/>
        <rFont val="新細明體"/>
        <family val="1"/>
        <charset val="136"/>
      </rPr>
      <t>簽准函文影本</t>
    </r>
    <r>
      <rPr>
        <sz val="12"/>
        <color indexed="8"/>
        <rFont val="新細明體"/>
        <family val="1"/>
        <charset val="136"/>
      </rPr>
      <t>陳核。</t>
    </r>
  </si>
  <si>
    <t>2.無報支差旅費者僅填假簿即可。</t>
  </si>
  <si>
    <t>依公民營客運汽車或火車最高等級票價，覈實報支。</t>
  </si>
  <si>
    <r>
      <t>距離</t>
    </r>
    <r>
      <rPr>
        <sz val="12"/>
        <rFont val="Calibri"/>
        <family val="2"/>
      </rPr>
      <t>60</t>
    </r>
    <r>
      <rPr>
        <sz val="12"/>
        <rFont val="新細明體"/>
        <family val="1"/>
        <charset val="136"/>
      </rPr>
      <t>公里以上，且有住宿必要，須檢據覈實報支</t>
    </r>
    <r>
      <rPr>
        <sz val="12"/>
        <rFont val="Calibri"/>
        <family val="2"/>
      </rPr>
      <t xml:space="preserve"> (</t>
    </r>
    <r>
      <rPr>
        <sz val="12"/>
        <rFont val="新細明體"/>
        <family val="1"/>
        <charset val="136"/>
      </rPr>
      <t>每日最高</t>
    </r>
    <r>
      <rPr>
        <sz val="12"/>
        <rFont val="Calibri"/>
        <family val="2"/>
      </rPr>
      <t>1600</t>
    </r>
    <r>
      <rPr>
        <sz val="12"/>
        <rFont val="新細明體"/>
        <family val="1"/>
        <charset val="136"/>
      </rPr>
      <t>元</t>
    </r>
    <r>
      <rPr>
        <sz val="12"/>
        <rFont val="Calibri"/>
        <family val="2"/>
      </rPr>
      <t>)</t>
    </r>
    <r>
      <rPr>
        <sz val="12"/>
        <rFont val="新細明體"/>
        <family val="1"/>
        <charset val="136"/>
      </rPr>
      <t>。</t>
    </r>
  </si>
  <si>
    <t>公差</t>
  </si>
  <si>
    <t>奉派以公差登記參加會議、訓練、講習、研習等活動</t>
  </si>
  <si>
    <r>
      <t>事先填具</t>
    </r>
    <r>
      <rPr>
        <b/>
        <u/>
        <sz val="12"/>
        <rFont val="新細明體"/>
        <family val="1"/>
        <charset val="136"/>
      </rPr>
      <t>差旅單</t>
    </r>
    <r>
      <rPr>
        <sz val="12"/>
        <rFont val="新細明體"/>
        <family val="1"/>
        <charset val="136"/>
      </rPr>
      <t>，併同</t>
    </r>
    <r>
      <rPr>
        <b/>
        <u/>
        <sz val="12"/>
        <color indexed="8"/>
        <rFont val="新細明體"/>
        <family val="1"/>
        <charset val="136"/>
      </rPr>
      <t>簽准函文影本</t>
    </r>
    <r>
      <rPr>
        <sz val="12"/>
        <color indexed="8"/>
        <rFont val="新細明體"/>
        <family val="1"/>
        <charset val="136"/>
      </rPr>
      <t>陳核。</t>
    </r>
  </si>
  <si>
    <t>半日</t>
  </si>
  <si>
    <r>
      <t>100</t>
    </r>
    <r>
      <rPr>
        <sz val="12"/>
        <rFont val="新細明體"/>
        <family val="1"/>
        <charset val="136"/>
      </rPr>
      <t>元</t>
    </r>
  </si>
  <si>
    <r>
      <t>150</t>
    </r>
    <r>
      <rPr>
        <sz val="12"/>
        <rFont val="新細明體"/>
        <family val="1"/>
        <charset val="136"/>
      </rPr>
      <t>元</t>
    </r>
  </si>
  <si>
    <t>每日</t>
  </si>
  <si>
    <r>
      <t>200</t>
    </r>
    <r>
      <rPr>
        <sz val="12"/>
        <rFont val="新細明體"/>
        <family val="1"/>
        <charset val="136"/>
      </rPr>
      <t>元</t>
    </r>
  </si>
  <si>
    <t>學校指派外出執行一定任務活動</t>
  </si>
  <si>
    <r>
      <t>如上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公差</t>
    </r>
    <r>
      <rPr>
        <sz val="12"/>
        <rFont val="Calibri"/>
        <family val="2"/>
      </rPr>
      <t>)</t>
    </r>
    <r>
      <rPr>
        <sz val="12"/>
        <rFont val="新細明體"/>
        <family val="1"/>
        <charset val="136"/>
      </rPr>
      <t>標準</t>
    </r>
  </si>
  <si>
    <r>
      <t>事先填具</t>
    </r>
    <r>
      <rPr>
        <b/>
        <u/>
        <sz val="12"/>
        <rFont val="新細明體"/>
        <family val="1"/>
        <charset val="136"/>
      </rPr>
      <t>差旅單</t>
    </r>
    <r>
      <rPr>
        <sz val="12"/>
        <color indexed="8"/>
        <rFont val="新細明體"/>
        <family val="1"/>
        <charset val="136"/>
      </rPr>
      <t>陳核。</t>
    </r>
  </si>
  <si>
    <t>103.8.25修訂</t>
  </si>
  <si>
    <t>三、差旅費分為交通費、住宿費及雜費，自起程日起至差竣日止按日報支，其報支數額如＜附件一＞。</t>
  </si>
  <si>
    <t>四、差旅費支領分為以下二類：</t>
  </si>
  <si>
    <r>
      <t xml:space="preserve">    (一)公假：奉派以公假登記參加訓練或講習性質之各項研習活動者，其往返</t>
    </r>
    <r>
      <rPr>
        <b/>
        <sz val="14"/>
        <color indexed="8"/>
        <rFont val="標楷體"/>
        <family val="4"/>
        <charset val="136"/>
      </rPr>
      <t>交通費</t>
    </r>
    <r>
      <rPr>
        <sz val="14"/>
        <color indexed="8"/>
        <rFont val="標楷體"/>
        <family val="4"/>
        <charset val="136"/>
      </rPr>
      <t>及</t>
    </r>
    <r>
      <rPr>
        <b/>
        <sz val="14"/>
        <color indexed="8"/>
        <rFont val="標楷體"/>
        <family val="4"/>
        <charset val="136"/>
      </rPr>
      <t>住宿費</t>
    </r>
    <r>
      <rPr>
        <sz val="14"/>
        <color indexed="8"/>
        <rFont val="標楷體"/>
        <family val="4"/>
        <charset val="136"/>
      </rPr>
      <t>比照辦理，但</t>
    </r>
    <r>
      <rPr>
        <b/>
        <u/>
        <sz val="14"/>
        <color indexed="8"/>
        <rFont val="標楷體"/>
        <family val="4"/>
        <charset val="136"/>
      </rPr>
      <t>不支領雜費</t>
    </r>
    <r>
      <rPr>
        <sz val="14"/>
        <color indexed="8"/>
        <rFont val="標楷體"/>
        <family val="4"/>
        <charset val="136"/>
      </rPr>
      <t>。</t>
    </r>
  </si>
  <si>
    <r>
      <t xml:space="preserve">    (二)公差：奉派以公差登記參加會議、訓練、講習、研習等活動者或係由學校指派外出執行一定任務者，其往返</t>
    </r>
    <r>
      <rPr>
        <b/>
        <sz val="14"/>
        <color indexed="8"/>
        <rFont val="標楷體"/>
        <family val="4"/>
        <charset val="136"/>
      </rPr>
      <t>交通費</t>
    </r>
    <r>
      <rPr>
        <sz val="14"/>
        <color indexed="8"/>
        <rFont val="標楷體"/>
        <family val="4"/>
        <charset val="136"/>
      </rPr>
      <t>、</t>
    </r>
    <r>
      <rPr>
        <b/>
        <sz val="14"/>
        <color indexed="8"/>
        <rFont val="標楷體"/>
        <family val="4"/>
        <charset val="136"/>
      </rPr>
      <t>住宿費</t>
    </r>
    <r>
      <rPr>
        <sz val="14"/>
        <color indexed="8"/>
        <rFont val="標楷體"/>
        <family val="4"/>
        <charset val="136"/>
      </rPr>
      <t>及</t>
    </r>
    <r>
      <rPr>
        <b/>
        <sz val="14"/>
        <color indexed="8"/>
        <rFont val="標楷體"/>
        <family val="4"/>
        <charset val="136"/>
      </rPr>
      <t>雜費</t>
    </r>
    <r>
      <rPr>
        <sz val="14"/>
        <color indexed="8"/>
        <rFont val="標楷體"/>
        <family val="4"/>
        <charset val="136"/>
      </rPr>
      <t>得依規定支領。</t>
    </r>
  </si>
  <si>
    <r>
      <t xml:space="preserve">     前二類中除係由學校指派外出執行一定任務者外，</t>
    </r>
    <r>
      <rPr>
        <sz val="14"/>
        <rFont val="標楷體"/>
        <family val="4"/>
        <charset val="136"/>
      </rPr>
      <t>請領差旅費應填具差旅單(如＜附件二＞)併同</t>
    </r>
    <r>
      <rPr>
        <b/>
        <u/>
        <sz val="14"/>
        <color indexed="8"/>
        <rFont val="標楷體"/>
        <family val="4"/>
        <charset val="136"/>
      </rPr>
      <t>簽准函文影本</t>
    </r>
    <r>
      <rPr>
        <sz val="14"/>
        <color indexed="8"/>
        <rFont val="標楷體"/>
        <family val="4"/>
        <charset val="136"/>
      </rPr>
      <t>，於外出前完成相關陳核程序。</t>
    </r>
  </si>
  <si>
    <t>五、因考量本校差旅預算經費有限，經主管會議討論後決議如下：</t>
  </si>
  <si>
    <r>
      <t>七、本校各項出差旅費支領標準一覽表</t>
    </r>
    <r>
      <rPr>
        <sz val="14"/>
        <rFont val="標楷體"/>
        <family val="4"/>
        <charset val="136"/>
      </rPr>
      <t>如＜附件三＞。</t>
    </r>
  </si>
  <si>
    <t>桃園市蘆竹區大華國民小學出差旅費支領標準一覽表</t>
    <phoneticPr fontId="8" type="noConversion"/>
  </si>
  <si>
    <t>依公民營客運汽車或火車最高等級票價，覈實報支。</t>
    <phoneticPr fontId="8" type="noConversion"/>
  </si>
  <si>
    <t>二、目的為規範本校教職員工，因公奉派國內公(差)假，其出差旅費之報支，特訂定本標準。</t>
    <phoneticPr fontId="8" type="noConversion"/>
  </si>
  <si>
    <t xml:space="preserve">桃園市蘆竹區大華國民小學出差旅費支領標準     </t>
    <phoneticPr fontId="8" type="noConversion"/>
  </si>
  <si>
    <t>市內</t>
    <phoneticPr fontId="8" type="noConversion"/>
  </si>
  <si>
    <t>市內</t>
    <phoneticPr fontId="8" type="noConversion"/>
  </si>
  <si>
    <t>市外</t>
    <phoneticPr fontId="8" type="noConversion"/>
  </si>
  <si>
    <t>市外</t>
    <phoneticPr fontId="8" type="noConversion"/>
  </si>
  <si>
    <t>ㄧ、本標準依據104年2月10日府主預字第1040026399號函「桃園市政府各機關學校國內出差旅費報支要點」訂定之。</t>
    <phoneticPr fontId="8" type="noConversion"/>
  </si>
  <si>
    <t>104.2.24修訂</t>
    <phoneticPr fontId="8" type="noConversion"/>
  </si>
  <si>
    <t>汽車</t>
    <phoneticPr fontId="8" type="noConversion"/>
  </si>
  <si>
    <t>校長</t>
    <phoneticPr fontId="8" type="noConversion"/>
  </si>
  <si>
    <t>黃坤亮</t>
    <phoneticPr fontId="8" type="noConversion"/>
  </si>
  <si>
    <r>
      <t xml:space="preserve">   </t>
    </r>
    <r>
      <rPr>
        <sz val="13"/>
        <color indexed="9"/>
        <rFont val="標楷體"/>
        <family val="4"/>
        <charset val="136"/>
      </rPr>
      <t>依據</t>
    </r>
    <r>
      <rPr>
        <sz val="13"/>
        <color indexed="9"/>
        <rFont val="Times New Roman"/>
        <family val="1"/>
      </rPr>
      <t xml:space="preserve"> 100.12.2</t>
    </r>
    <r>
      <rPr>
        <sz val="13"/>
        <color indexed="9"/>
        <rFont val="標楷體"/>
        <family val="4"/>
        <charset val="136"/>
      </rPr>
      <t>府教小字第</t>
    </r>
    <r>
      <rPr>
        <sz val="13"/>
        <color indexed="9"/>
        <rFont val="Times New Roman"/>
        <family val="1"/>
      </rPr>
      <t xml:space="preserve">1000493767 </t>
    </r>
    <r>
      <rPr>
        <sz val="13"/>
        <color indexed="9"/>
        <rFont val="標楷體"/>
        <family val="4"/>
        <charset val="136"/>
      </rPr>
      <t>號函辦理</t>
    </r>
    <phoneticPr fontId="8" type="noConversion"/>
  </si>
  <si>
    <t>假別</t>
    <phoneticPr fontId="8" type="noConversion"/>
  </si>
  <si>
    <t xml:space="preserve">        桃園市蘆竹區大華國民小學公差(假)核定單　　  </t>
    <phoneticPr fontId="8" type="noConversion"/>
  </si>
  <si>
    <t>差假起迄</t>
    <phoneticPr fontId="8" type="noConversion"/>
  </si>
  <si>
    <t>差假事由</t>
    <phoneticPr fontId="8" type="noConversion"/>
  </si>
  <si>
    <t>請 假 人</t>
    <phoneticPr fontId="8" type="noConversion"/>
  </si>
  <si>
    <t>差假日數</t>
    <phoneticPr fontId="8" type="noConversion"/>
  </si>
  <si>
    <t>差假地點及事由</t>
    <phoneticPr fontId="8" type="noConversion"/>
  </si>
  <si>
    <t xml:space="preserve">        桃園市蘆竹區大華國民小學公差(假)核定單　　  </t>
    <phoneticPr fontId="8" type="noConversion"/>
  </si>
  <si>
    <r>
      <t>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假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人</t>
    </r>
    <phoneticPr fontId="8" type="noConversion"/>
  </si>
  <si>
    <t>差假
總日數</t>
    <phoneticPr fontId="8" type="noConversion"/>
  </si>
  <si>
    <t>差假時間地點及事由</t>
    <phoneticPr fontId="8" type="noConversion"/>
  </si>
  <si>
    <t>總差假日數</t>
    <phoneticPr fontId="8" type="noConversion"/>
  </si>
  <si>
    <r>
      <t>請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假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人</t>
    </r>
    <phoneticPr fontId="8" type="noConversion"/>
  </si>
  <si>
    <t>差假事由</t>
    <phoneticPr fontId="8" type="noConversion"/>
  </si>
  <si>
    <t>校長室</t>
  </si>
  <si>
    <t>台灣鐵路票價查詢系統</t>
    <phoneticPr fontId="8" type="noConversion"/>
  </si>
  <si>
    <t>起點</t>
  </si>
  <si>
    <t>目的地</t>
  </si>
  <si>
    <t>大華國小</t>
  </si>
  <si>
    <t>蘆竹區</t>
  </si>
  <si>
    <t>桃園區</t>
  </si>
  <si>
    <t>(29+18)*2</t>
  </si>
  <si>
    <t>桃園市政府</t>
  </si>
  <si>
    <t>龜山區</t>
  </si>
  <si>
    <t>大園區</t>
  </si>
  <si>
    <t>(24+30)*2</t>
  </si>
  <si>
    <t>八德區</t>
  </si>
  <si>
    <t>(29+26)*2</t>
  </si>
  <si>
    <t>大溪區</t>
  </si>
  <si>
    <t>(29+45)*2</t>
  </si>
  <si>
    <t>龍潭區</t>
  </si>
  <si>
    <t>(29+63)*2</t>
  </si>
  <si>
    <t>楊梅區</t>
  </si>
  <si>
    <t>(24+47)*2</t>
  </si>
  <si>
    <t>中壢區</t>
  </si>
  <si>
    <t>(29+36)*2</t>
  </si>
  <si>
    <t>平鎮區</t>
  </si>
  <si>
    <t>(29+36+18)*2</t>
  </si>
  <si>
    <t>復興區</t>
  </si>
  <si>
    <t>(29+45+59)*2</t>
  </si>
  <si>
    <t>觀音區</t>
  </si>
  <si>
    <t>(24+66)*2</t>
  </si>
  <si>
    <t>新屋區</t>
  </si>
  <si>
    <t>(24+86)*2</t>
  </si>
  <si>
    <t xml:space="preserve"> 24*2</t>
    <phoneticPr fontId="8" type="noConversion"/>
  </si>
  <si>
    <t xml:space="preserve">  </t>
    <phoneticPr fontId="8" type="noConversion"/>
  </si>
  <si>
    <t>票價計算</t>
    <phoneticPr fontId="8" type="noConversion"/>
  </si>
  <si>
    <t>往返車資</t>
    <phoneticPr fontId="8" type="noConversion"/>
  </si>
  <si>
    <t>依往返本市各區公車票價計算</t>
    <phoneticPr fontId="8" type="noConversion"/>
  </si>
  <si>
    <t xml:space="preserve">    (二)市外：交通費依公民營客運汽車或火車最高等級票價，覈實報支。距離60公里以上，且有住宿必要者，應經校長簽准後檢據覈實報支住宿費(每日最高1600元)。雜費一律以每日200元報支。</t>
    <phoneticPr fontId="8" type="noConversion"/>
  </si>
  <si>
    <r>
      <t>六、出差至南崁地區者(超過五公里)，比照本校市內交通費及雜費標準核支；出差至大竹地區者(未達五公里)，比照本校市內交通費核支，但</t>
    </r>
    <r>
      <rPr>
        <b/>
        <u/>
        <sz val="14"/>
        <color indexed="8"/>
        <rFont val="標楷體"/>
        <family val="4"/>
        <charset val="136"/>
      </rPr>
      <t>不支領雜費</t>
    </r>
    <r>
      <rPr>
        <sz val="14"/>
        <color indexed="8"/>
        <rFont val="標楷體"/>
        <family val="4"/>
        <charset val="136"/>
      </rPr>
      <t>。</t>
    </r>
    <phoneticPr fontId="8" type="noConversion"/>
  </si>
  <si>
    <t>八、其餘事項請依「桃園市政府各機關學校國內出差旅費報支要點」辦理，並溯自中華民國103年7月7日起生效。</t>
    <phoneticPr fontId="8" type="noConversion"/>
  </si>
  <si>
    <t>桃園市大華國小往返各區差旅車資一覽表</t>
    <phoneticPr fontId="8" type="noConversion"/>
  </si>
  <si>
    <r>
      <t xml:space="preserve">    (一)市內：</t>
    </r>
    <r>
      <rPr>
        <sz val="14"/>
        <rFont val="標楷體"/>
        <family val="4"/>
        <charset val="136"/>
      </rPr>
      <t>公(差)假</t>
    </r>
    <r>
      <rPr>
        <sz val="14"/>
        <color indexed="8"/>
        <rFont val="標楷體"/>
        <family val="4"/>
        <charset val="136"/>
      </rPr>
      <t>交通費參考『桃園市大華國小往返各區差旅車資一覽表』報支。出差半日者雜費核支100元，出差全日者雜費核支150元。公假者依規定不支領雜費。</t>
    </r>
    <phoneticPr fontId="8" type="noConversion"/>
  </si>
  <si>
    <t>&lt; 附件三 &gt;</t>
    <phoneticPr fontId="8" type="noConversion"/>
  </si>
  <si>
    <t>GOOGLE 地圖查詢系統</t>
  </si>
  <si>
    <t>上午</t>
  </si>
  <si>
    <t>大園高中</t>
    <phoneticPr fontId="8" type="noConversion"/>
  </si>
  <si>
    <t>參加十二年國教特殊教育課綱說明會</t>
    <phoneticPr fontId="8" type="noConversion"/>
  </si>
  <si>
    <t>下午</t>
  </si>
  <si>
    <t>市政府</t>
    <phoneticPr fontId="8" type="noConversion"/>
  </si>
  <si>
    <t>洽辦資優生縮短修業年限事宜</t>
    <phoneticPr fontId="8" type="noConversion"/>
  </si>
  <si>
    <t>高原國小</t>
    <phoneticPr fontId="8" type="noConversion"/>
  </si>
  <si>
    <t>參加高原國小新建校舍動土典禮</t>
    <phoneticPr fontId="8" type="noConversion"/>
  </si>
  <si>
    <t>人事室</t>
  </si>
  <si>
    <t>主任</t>
    <phoneticPr fontId="8" type="noConversion"/>
  </si>
  <si>
    <t>吳雅靜</t>
    <phoneticPr fontId="8" type="noConversion"/>
  </si>
  <si>
    <t>育達高中</t>
    <phoneticPr fontId="8" type="noConversion"/>
  </si>
  <si>
    <t>106年度國民小學及幼兒園教師介聘甄選人事作業說明會</t>
    <phoneticPr fontId="8" type="noConversion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</si>
</sst>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[DBNum2][$-404]General"/>
    <numFmt numFmtId="178" formatCode="[$-404]e&quot;年&quot;m&quot;月&quot;d&quot;日&quot;;@"/>
    <numFmt numFmtId="179" formatCode="h&quot;時&quot;mm&quot;分&quot;;@"/>
    <numFmt numFmtId="180" formatCode="#,##0_ "/>
    <numFmt numFmtId="181" formatCode="h:mm;@"/>
  </numFmts>
  <fonts count="59">
    <font>
      <sz val="12"/>
      <name val="新細明體"/>
      <family val="1"/>
      <charset val="136"/>
    </font>
    <font>
      <sz val="12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5"/>
      <name val="標楷體"/>
      <family val="4"/>
      <charset val="136"/>
    </font>
    <font>
      <b/>
      <sz val="16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3.5"/>
      <name val="標楷體"/>
      <family val="4"/>
      <charset val="136"/>
    </font>
    <font>
      <sz val="13.5"/>
      <name val="Times New Roman"/>
      <family val="1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3"/>
      <color indexed="9"/>
      <name val="Times New Roman"/>
      <family val="1"/>
    </font>
    <font>
      <sz val="13"/>
      <color indexed="9"/>
      <name val="標楷體"/>
      <family val="4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1"/>
      <color indexed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4"/>
      <name val="Times New Roman"/>
      <family val="1"/>
    </font>
    <font>
      <b/>
      <sz val="12"/>
      <name val="Times New Roman"/>
      <family val="1"/>
    </font>
    <font>
      <sz val="14"/>
      <color indexed="12"/>
      <name val="Times New Roman"/>
      <family val="1"/>
    </font>
    <font>
      <b/>
      <sz val="14"/>
      <color indexed="12"/>
      <name val="Times New Roman"/>
      <family val="1"/>
    </font>
    <font>
      <sz val="11"/>
      <color indexed="81"/>
      <name val="標楷體"/>
      <family val="4"/>
      <charset val="136"/>
    </font>
    <font>
      <sz val="13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"/>
      <name val="新細明體"/>
      <family val="1"/>
      <charset val="136"/>
    </font>
    <font>
      <sz val="1"/>
      <color indexed="9"/>
      <name val="新細明體"/>
      <family val="1"/>
      <charset val="136"/>
    </font>
    <font>
      <b/>
      <sz val="13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3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indexed="8"/>
      <name val="標楷體"/>
      <family val="4"/>
      <charset val="136"/>
    </font>
    <font>
      <sz val="12"/>
      <name val="Calibri"/>
      <family val="2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6"/>
      <name val="Calibri"/>
      <family val="2"/>
    </font>
    <font>
      <b/>
      <u/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u/>
      <sz val="14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u/>
      <sz val="24"/>
      <color theme="10"/>
      <name val="新細明體"/>
      <family val="1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b/>
      <sz val="10"/>
      <color indexed="81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4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5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dashed">
        <color indexed="5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47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/>
    </xf>
    <xf numFmtId="180" fontId="1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78" fontId="19" fillId="0" borderId="0" xfId="0" applyNumberFormat="1" applyFont="1" applyAlignment="1">
      <alignment horizontal="center" vertical="center"/>
    </xf>
    <xf numFmtId="0" fontId="2" fillId="0" borderId="8" xfId="0" applyFont="1" applyBorder="1" applyAlignment="1"/>
    <xf numFmtId="0" fontId="30" fillId="0" borderId="9" xfId="0" applyFont="1" applyBorder="1" applyAlignment="1">
      <alignment horizontal="center" vertical="center" wrapText="1"/>
    </xf>
    <xf numFmtId="0" fontId="31" fillId="0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9" fontId="10" fillId="0" borderId="10" xfId="0" applyNumberFormat="1" applyFont="1" applyFill="1" applyBorder="1" applyAlignment="1">
      <alignment vertical="center" wrapText="1"/>
    </xf>
    <xf numFmtId="20" fontId="10" fillId="0" borderId="11" xfId="0" applyNumberFormat="1" applyFont="1" applyFill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3" xfId="0" applyNumberFormat="1" applyFont="1" applyFill="1" applyBorder="1" applyAlignment="1">
      <alignment horizontal="center" vertical="center" wrapText="1"/>
    </xf>
    <xf numFmtId="0" fontId="38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2" xfId="0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justify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0" fontId="0" fillId="3" borderId="12" xfId="0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0" fontId="42" fillId="3" borderId="16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justify" vertical="center" wrapText="1"/>
    </xf>
    <xf numFmtId="0" fontId="0" fillId="3" borderId="17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49" fillId="2" borderId="0" xfId="0" applyFont="1" applyFill="1" applyAlignment="1">
      <alignment horizontal="left"/>
    </xf>
    <xf numFmtId="0" fontId="50" fillId="2" borderId="0" xfId="0" applyFont="1" applyFill="1"/>
    <xf numFmtId="0" fontId="11" fillId="0" borderId="18" xfId="0" applyNumberFormat="1" applyFont="1" applyFill="1" applyBorder="1" applyAlignment="1">
      <alignment horizontal="right" vertical="center" wrapText="1"/>
    </xf>
    <xf numFmtId="0" fontId="11" fillId="0" borderId="18" xfId="0" applyNumberFormat="1" applyFont="1" applyFill="1" applyBorder="1" applyAlignment="1">
      <alignment horizontal="right" vertical="center" shrinkToFit="1"/>
    </xf>
    <xf numFmtId="0" fontId="10" fillId="0" borderId="18" xfId="0" applyFont="1" applyFill="1" applyBorder="1" applyAlignment="1">
      <alignment horizontal="left" vertical="center" wrapText="1"/>
    </xf>
    <xf numFmtId="180" fontId="10" fillId="0" borderId="7" xfId="0" applyNumberFormat="1" applyFont="1" applyFill="1" applyBorder="1" applyAlignment="1">
      <alignment horizontal="right" vertical="center" indent="1" shrinkToFi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80" fontId="20" fillId="0" borderId="7" xfId="0" applyNumberFormat="1" applyFont="1" applyFill="1" applyBorder="1" applyAlignment="1">
      <alignment horizontal="right" vertical="center" wrapText="1" indent="1" shrinkToFit="1"/>
    </xf>
    <xf numFmtId="180" fontId="20" fillId="0" borderId="19" xfId="0" applyNumberFormat="1" applyFont="1" applyFill="1" applyBorder="1" applyAlignment="1">
      <alignment horizontal="right" vertical="center" wrapText="1" indent="1" shrinkToFit="1"/>
    </xf>
    <xf numFmtId="180" fontId="3" fillId="0" borderId="7" xfId="0" applyNumberFormat="1" applyFont="1" applyBorder="1" applyAlignment="1">
      <alignment horizontal="right" vertical="center" wrapText="1" indent="1"/>
    </xf>
    <xf numFmtId="180" fontId="20" fillId="0" borderId="2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right" vertical="center" wrapText="1" shrinkToFit="1"/>
    </xf>
    <xf numFmtId="0" fontId="20" fillId="0" borderId="18" xfId="0" applyFont="1" applyBorder="1" applyAlignment="1">
      <alignment vertical="center" shrinkToFit="1"/>
    </xf>
    <xf numFmtId="0" fontId="11" fillId="0" borderId="23" xfId="0" applyFont="1" applyFill="1" applyBorder="1" applyAlignment="1">
      <alignment horizontal="right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/>
    </xf>
    <xf numFmtId="0" fontId="5" fillId="0" borderId="47" xfId="0" applyFont="1" applyBorder="1" applyAlignment="1">
      <alignment vertical="center" wrapText="1"/>
    </xf>
    <xf numFmtId="0" fontId="10" fillId="0" borderId="123" xfId="0" applyFont="1" applyFill="1" applyBorder="1" applyAlignment="1">
      <alignment vertical="center" wrapText="1" shrinkToFit="1"/>
    </xf>
    <xf numFmtId="0" fontId="2" fillId="0" borderId="8" xfId="0" applyFont="1" applyFill="1" applyBorder="1" applyAlignment="1"/>
    <xf numFmtId="0" fontId="20" fillId="0" borderId="123" xfId="0" applyFont="1" applyFill="1" applyBorder="1" applyAlignment="1" applyProtection="1">
      <alignment vertical="center" shrinkToFit="1"/>
    </xf>
    <xf numFmtId="0" fontId="9" fillId="0" borderId="129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180" fontId="20" fillId="0" borderId="7" xfId="0" applyNumberFormat="1" applyFont="1" applyFill="1" applyBorder="1" applyAlignment="1">
      <alignment horizontal="right" vertical="center" wrapText="1" indent="1" shrinkToFit="1"/>
    </xf>
    <xf numFmtId="0" fontId="0" fillId="0" borderId="0" xfId="0" applyAlignment="1">
      <alignment horizontal="center" vertical="center"/>
    </xf>
    <xf numFmtId="0" fontId="43" fillId="0" borderId="135" xfId="0" applyFont="1" applyBorder="1" applyAlignment="1">
      <alignment horizontal="center" vertical="top" wrapText="1"/>
    </xf>
    <xf numFmtId="0" fontId="43" fillId="0" borderId="136" xfId="0" applyFont="1" applyBorder="1" applyAlignment="1">
      <alignment horizontal="center" vertical="top" wrapText="1"/>
    </xf>
    <xf numFmtId="0" fontId="43" fillId="0" borderId="136" xfId="0" applyFont="1" applyBorder="1" applyAlignment="1">
      <alignment vertical="top" wrapText="1"/>
    </xf>
    <xf numFmtId="0" fontId="43" fillId="0" borderId="0" xfId="0" applyFont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top" wrapText="1"/>
    </xf>
    <xf numFmtId="0" fontId="43" fillId="0" borderId="0" xfId="0" applyFont="1" applyBorder="1" applyAlignment="1">
      <alignment vertical="top" wrapText="1"/>
    </xf>
    <xf numFmtId="0" fontId="43" fillId="7" borderId="133" xfId="0" applyFont="1" applyFill="1" applyBorder="1" applyAlignment="1">
      <alignment horizontal="center" vertical="top" wrapText="1"/>
    </xf>
    <xf numFmtId="0" fontId="43" fillId="7" borderId="134" xfId="0" applyFont="1" applyFill="1" applyBorder="1" applyAlignment="1">
      <alignment horizontal="center" vertical="top" wrapText="1"/>
    </xf>
    <xf numFmtId="0" fontId="43" fillId="8" borderId="136" xfId="0" applyFont="1" applyFill="1" applyBorder="1" applyAlignment="1">
      <alignment horizontal="right" vertical="top" wrapText="1" indent="1"/>
    </xf>
    <xf numFmtId="0" fontId="55" fillId="0" borderId="0" xfId="0" applyFont="1" applyAlignment="1">
      <alignment horizontal="right" vertical="center"/>
    </xf>
    <xf numFmtId="0" fontId="9" fillId="0" borderId="77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178" fontId="1" fillId="0" borderId="54" xfId="0" applyNumberFormat="1" applyFont="1" applyBorder="1" applyAlignment="1">
      <alignment horizontal="center" vertical="center" wrapText="1"/>
    </xf>
    <xf numFmtId="178" fontId="1" fillId="0" borderId="55" xfId="0" applyNumberFormat="1" applyFont="1" applyBorder="1" applyAlignment="1">
      <alignment horizontal="center" vertical="center" wrapText="1"/>
    </xf>
    <xf numFmtId="178" fontId="1" fillId="0" borderId="56" xfId="0" applyNumberFormat="1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2" xfId="0" applyBorder="1" applyAlignment="1">
      <alignment horizontal="center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38" fillId="0" borderId="9" xfId="0" applyFont="1" applyFill="1" applyBorder="1" applyAlignment="1" applyProtection="1">
      <alignment horizontal="center" vertical="center" wrapText="1"/>
    </xf>
    <xf numFmtId="0" fontId="38" fillId="0" borderId="22" xfId="0" applyFont="1" applyFill="1" applyBorder="1" applyAlignment="1" applyProtection="1">
      <alignment horizontal="center" vertical="center" wrapText="1"/>
    </xf>
    <xf numFmtId="0" fontId="38" fillId="0" borderId="2" xfId="0" applyFont="1" applyFill="1" applyBorder="1" applyAlignment="1" applyProtection="1">
      <alignment horizontal="center" vertical="center" wrapText="1"/>
    </xf>
    <xf numFmtId="0" fontId="40" fillId="0" borderId="9" xfId="0" applyFont="1" applyFill="1" applyBorder="1" applyAlignment="1" applyProtection="1">
      <alignment horizontal="center" vertical="center" wrapText="1" shrinkToFit="1"/>
    </xf>
    <xf numFmtId="0" fontId="40" fillId="0" borderId="22" xfId="0" applyFont="1" applyFill="1" applyBorder="1" applyAlignment="1" applyProtection="1">
      <alignment horizontal="center" vertical="center" wrapText="1" shrinkToFit="1"/>
    </xf>
    <xf numFmtId="0" fontId="40" fillId="0" borderId="2" xfId="0" applyFont="1" applyFill="1" applyBorder="1" applyAlignment="1" applyProtection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0" fillId="0" borderId="22" xfId="0" applyNumberFormat="1" applyFont="1" applyFill="1" applyBorder="1" applyAlignment="1">
      <alignment horizontal="center" vertical="center" wrapText="1" shrinkToFit="1"/>
    </xf>
    <xf numFmtId="180" fontId="10" fillId="0" borderId="7" xfId="0" applyNumberFormat="1" applyFont="1" applyFill="1" applyBorder="1" applyAlignment="1">
      <alignment horizontal="right" vertical="center" shrinkToFi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5" borderId="126" xfId="0" applyFont="1" applyFill="1" applyBorder="1" applyAlignment="1">
      <alignment horizontal="center" vertical="center" wrapText="1" shrinkToFit="1"/>
    </xf>
    <xf numFmtId="0" fontId="37" fillId="0" borderId="9" xfId="0" applyFont="1" applyFill="1" applyBorder="1" applyAlignment="1" applyProtection="1">
      <alignment horizontal="center" vertical="center" wrapText="1"/>
    </xf>
    <xf numFmtId="0" fontId="37" fillId="0" borderId="2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77" fontId="17" fillId="0" borderId="46" xfId="0" applyNumberFormat="1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177" fontId="41" fillId="0" borderId="46" xfId="0" applyNumberFormat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176" fontId="9" fillId="0" borderId="2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177" fontId="17" fillId="0" borderId="45" xfId="0" applyNumberFormat="1" applyFont="1" applyFill="1" applyBorder="1" applyAlignment="1">
      <alignment horizontal="right" vertical="center" wrapText="1"/>
    </xf>
    <xf numFmtId="177" fontId="17" fillId="0" borderId="46" xfId="0" applyNumberFormat="1" applyFont="1" applyFill="1" applyBorder="1" applyAlignment="1">
      <alignment horizontal="right" vertical="center" wrapText="1"/>
    </xf>
    <xf numFmtId="0" fontId="10" fillId="0" borderId="126" xfId="0" applyFont="1" applyBorder="1" applyAlignment="1">
      <alignment horizontal="left" vertical="center" wrapText="1" shrinkToFit="1"/>
    </xf>
    <xf numFmtId="0" fontId="10" fillId="0" borderId="127" xfId="0" applyFont="1" applyBorder="1" applyAlignment="1">
      <alignment horizontal="left" vertical="center" wrapText="1" shrinkToFit="1"/>
    </xf>
    <xf numFmtId="0" fontId="9" fillId="0" borderId="7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right" vertical="center" shrinkToFi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shrinkToFit="1"/>
    </xf>
    <xf numFmtId="0" fontId="11" fillId="0" borderId="68" xfId="0" applyFont="1" applyFill="1" applyBorder="1" applyAlignment="1">
      <alignment horizontal="left" vertical="center" wrapText="1"/>
    </xf>
    <xf numFmtId="0" fontId="11" fillId="0" borderId="69" xfId="0" applyFont="1" applyFill="1" applyBorder="1" applyAlignment="1">
      <alignment horizontal="left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5" borderId="122" xfId="0" applyFont="1" applyFill="1" applyBorder="1" applyAlignment="1">
      <alignment horizontal="center" vertical="center" wrapText="1" shrinkToFit="1"/>
    </xf>
    <xf numFmtId="0" fontId="10" fillId="5" borderId="123" xfId="0" applyFont="1" applyFill="1" applyBorder="1" applyAlignment="1">
      <alignment horizontal="center" vertical="center" wrapText="1" shrinkToFit="1"/>
    </xf>
    <xf numFmtId="0" fontId="10" fillId="5" borderId="125" xfId="0" applyFont="1" applyFill="1" applyBorder="1" applyAlignment="1">
      <alignment horizontal="center" vertical="center" wrapText="1" shrinkToFit="1"/>
    </xf>
    <xf numFmtId="0" fontId="10" fillId="0" borderId="123" xfId="0" applyFont="1" applyFill="1" applyBorder="1" applyAlignment="1">
      <alignment horizontal="left" vertical="center" wrapText="1" shrinkToFit="1"/>
    </xf>
    <xf numFmtId="0" fontId="10" fillId="0" borderId="124" xfId="0" applyFont="1" applyFill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58" fontId="10" fillId="0" borderId="28" xfId="0" applyNumberFormat="1" applyFont="1" applyFill="1" applyBorder="1" applyAlignment="1">
      <alignment horizontal="distributed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129" xfId="0" applyFont="1" applyFill="1" applyBorder="1" applyAlignment="1">
      <alignment horizontal="center" vertical="center" wrapText="1"/>
    </xf>
    <xf numFmtId="0" fontId="5" fillId="0" borderId="130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 wrapText="1"/>
    </xf>
    <xf numFmtId="180" fontId="10" fillId="0" borderId="7" xfId="0" applyNumberFormat="1" applyFont="1" applyFill="1" applyBorder="1" applyAlignment="1" applyProtection="1">
      <alignment horizontal="right" vertical="center" shrinkToFit="1"/>
    </xf>
    <xf numFmtId="180" fontId="10" fillId="0" borderId="22" xfId="0" applyNumberFormat="1" applyFont="1" applyBorder="1" applyAlignment="1">
      <alignment horizontal="right" vertical="center" wrapText="1" indent="1"/>
    </xf>
    <xf numFmtId="180" fontId="10" fillId="0" borderId="40" xfId="0" applyNumberFormat="1" applyFont="1" applyBorder="1" applyAlignment="1">
      <alignment horizontal="right" vertical="center" wrapText="1" indent="1"/>
    </xf>
    <xf numFmtId="180" fontId="10" fillId="0" borderId="7" xfId="0" applyNumberFormat="1" applyFont="1" applyBorder="1" applyAlignment="1">
      <alignment horizontal="right" vertical="center" wrapText="1" indent="1"/>
    </xf>
    <xf numFmtId="0" fontId="10" fillId="0" borderId="4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80" fontId="10" fillId="0" borderId="122" xfId="0" applyNumberFormat="1" applyFont="1" applyBorder="1" applyAlignment="1" applyProtection="1">
      <alignment horizontal="right" vertical="center" wrapText="1" indent="1"/>
    </xf>
    <xf numFmtId="180" fontId="10" fillId="0" borderId="123" xfId="0" applyNumberFormat="1" applyFont="1" applyBorder="1" applyAlignment="1" applyProtection="1">
      <alignment horizontal="right" vertical="center" wrapText="1" indent="1"/>
    </xf>
    <xf numFmtId="180" fontId="10" fillId="0" borderId="125" xfId="0" applyNumberFormat="1" applyFont="1" applyBorder="1" applyAlignment="1" applyProtection="1">
      <alignment horizontal="right" vertical="center" wrapText="1" indent="1"/>
    </xf>
    <xf numFmtId="20" fontId="10" fillId="0" borderId="28" xfId="0" applyNumberFormat="1" applyFont="1" applyFill="1" applyBorder="1" applyAlignment="1">
      <alignment horizontal="center" vertical="center" wrapText="1"/>
    </xf>
    <xf numFmtId="58" fontId="10" fillId="0" borderId="18" xfId="0" applyNumberFormat="1" applyFont="1" applyFill="1" applyBorder="1" applyAlignment="1">
      <alignment horizontal="distributed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79" fontId="10" fillId="0" borderId="18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80" fontId="10" fillId="0" borderId="7" xfId="0" applyNumberFormat="1" applyFont="1" applyBorder="1" applyAlignment="1" applyProtection="1">
      <alignment horizontal="right" vertical="center" wrapText="1" indent="1"/>
    </xf>
    <xf numFmtId="180" fontId="10" fillId="0" borderId="122" xfId="0" applyNumberFormat="1" applyFont="1" applyBorder="1" applyAlignment="1">
      <alignment horizontal="right" vertical="center" wrapText="1" indent="1"/>
    </xf>
    <xf numFmtId="180" fontId="10" fillId="0" borderId="123" xfId="0" applyNumberFormat="1" applyFont="1" applyBorder="1" applyAlignment="1">
      <alignment horizontal="right" vertical="center" wrapText="1" indent="1"/>
    </xf>
    <xf numFmtId="180" fontId="10" fillId="0" borderId="125" xfId="0" applyNumberFormat="1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center"/>
    </xf>
    <xf numFmtId="0" fontId="20" fillId="5" borderId="23" xfId="0" applyFont="1" applyFill="1" applyBorder="1" applyAlignment="1" applyProtection="1">
      <alignment horizontal="center" vertical="center" shrinkToFit="1"/>
    </xf>
    <xf numFmtId="0" fontId="20" fillId="5" borderId="123" xfId="0" applyFont="1" applyFill="1" applyBorder="1" applyAlignment="1" applyProtection="1">
      <alignment horizontal="center" vertical="center" shrinkToFit="1"/>
    </xf>
    <xf numFmtId="0" fontId="20" fillId="5" borderId="125" xfId="0" applyFont="1" applyFill="1" applyBorder="1" applyAlignment="1" applyProtection="1">
      <alignment horizontal="center" vertical="center" shrinkToFit="1"/>
    </xf>
    <xf numFmtId="0" fontId="20" fillId="0" borderId="123" xfId="0" applyFont="1" applyFill="1" applyBorder="1" applyAlignment="1" applyProtection="1">
      <alignment horizontal="left" vertical="center" shrinkToFit="1"/>
    </xf>
    <xf numFmtId="0" fontId="20" fillId="0" borderId="124" xfId="0" applyFont="1" applyFill="1" applyBorder="1" applyAlignment="1" applyProtection="1">
      <alignment horizontal="left" vertical="center" shrinkToFit="1"/>
    </xf>
    <xf numFmtId="0" fontId="20" fillId="5" borderId="123" xfId="0" applyFont="1" applyFill="1" applyBorder="1" applyAlignment="1">
      <alignment horizontal="center" vertical="center" shrinkToFit="1"/>
    </xf>
    <xf numFmtId="0" fontId="20" fillId="0" borderId="123" xfId="0" applyFont="1" applyBorder="1" applyAlignment="1">
      <alignment horizontal="left" vertical="center" shrinkToFit="1"/>
    </xf>
    <xf numFmtId="0" fontId="20" fillId="0" borderId="124" xfId="0" applyFont="1" applyBorder="1" applyAlignment="1">
      <alignment horizontal="left" vertical="center" shrinkToFit="1"/>
    </xf>
    <xf numFmtId="58" fontId="3" fillId="0" borderId="8" xfId="0" applyNumberFormat="1" applyFont="1" applyFill="1" applyBorder="1" applyAlignment="1">
      <alignment horizontal="right"/>
    </xf>
    <xf numFmtId="0" fontId="9" fillId="0" borderId="8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80" fontId="3" fillId="0" borderId="7" xfId="0" applyNumberFormat="1" applyFont="1" applyBorder="1" applyAlignment="1">
      <alignment horizontal="right" vertical="center" wrapText="1"/>
    </xf>
    <xf numFmtId="180" fontId="20" fillId="0" borderId="84" xfId="0" applyNumberFormat="1" applyFont="1" applyFill="1" applyBorder="1" applyAlignment="1">
      <alignment horizontal="right" vertical="center" wrapText="1" shrinkToFit="1"/>
    </xf>
    <xf numFmtId="180" fontId="20" fillId="0" borderId="46" xfId="0" applyNumberFormat="1" applyFont="1" applyFill="1" applyBorder="1" applyAlignment="1">
      <alignment horizontal="right" vertical="center" wrapText="1" shrinkToFit="1"/>
    </xf>
    <xf numFmtId="180" fontId="20" fillId="0" borderId="85" xfId="0" applyNumberFormat="1" applyFont="1" applyFill="1" applyBorder="1" applyAlignment="1">
      <alignment horizontal="right" vertical="center" wrapText="1" shrinkToFit="1"/>
    </xf>
    <xf numFmtId="180" fontId="20" fillId="0" borderId="23" xfId="0" applyNumberFormat="1" applyFont="1" applyFill="1" applyBorder="1" applyAlignment="1">
      <alignment horizontal="right" vertical="center" wrapText="1" shrinkToFit="1"/>
    </xf>
    <xf numFmtId="180" fontId="20" fillId="0" borderId="10" xfId="0" applyNumberFormat="1" applyFont="1" applyFill="1" applyBorder="1" applyAlignment="1">
      <alignment horizontal="right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180" fontId="20" fillId="0" borderId="7" xfId="0" applyNumberFormat="1" applyFont="1" applyBorder="1" applyAlignment="1">
      <alignment horizontal="right" vertical="center" wrapText="1"/>
    </xf>
    <xf numFmtId="0" fontId="5" fillId="0" borderId="81" xfId="0" applyFont="1" applyBorder="1" applyAlignment="1">
      <alignment horizontal="center" vertical="center" wrapText="1"/>
    </xf>
    <xf numFmtId="0" fontId="37" fillId="0" borderId="9" xfId="0" applyNumberFormat="1" applyFont="1" applyFill="1" applyBorder="1" applyAlignment="1">
      <alignment horizontal="center" vertical="center" wrapText="1"/>
    </xf>
    <xf numFmtId="0" fontId="37" fillId="0" borderId="22" xfId="0" applyNumberFormat="1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shrinkToFit="1"/>
    </xf>
    <xf numFmtId="20" fontId="40" fillId="0" borderId="23" xfId="0" applyNumberFormat="1" applyFont="1" applyFill="1" applyBorder="1" applyAlignment="1">
      <alignment horizontal="center" vertical="center" wrapText="1" shrinkToFit="1"/>
    </xf>
    <xf numFmtId="20" fontId="40" fillId="0" borderId="18" xfId="0" applyNumberFormat="1" applyFont="1" applyFill="1" applyBorder="1" applyAlignment="1">
      <alignment horizontal="center" vertical="center" wrapText="1" shrinkToFit="1"/>
    </xf>
    <xf numFmtId="20" fontId="40" fillId="0" borderId="10" xfId="0" applyNumberFormat="1" applyFont="1" applyFill="1" applyBorder="1" applyAlignment="1">
      <alignment horizontal="center" vertical="center" wrapText="1" shrinkToFit="1"/>
    </xf>
    <xf numFmtId="32" fontId="38" fillId="0" borderId="7" xfId="0" applyNumberFormat="1" applyFont="1" applyFill="1" applyBorder="1" applyAlignment="1">
      <alignment horizontal="center" vertical="center" shrinkToFit="1"/>
    </xf>
    <xf numFmtId="180" fontId="20" fillId="0" borderId="23" xfId="0" applyNumberFormat="1" applyFont="1" applyFill="1" applyBorder="1" applyAlignment="1">
      <alignment horizontal="right" vertical="center" indent="1" shrinkToFit="1"/>
    </xf>
    <xf numFmtId="180" fontId="20" fillId="0" borderId="18" xfId="0" applyNumberFormat="1" applyFont="1" applyFill="1" applyBorder="1" applyAlignment="1">
      <alignment horizontal="right" vertical="center" indent="1" shrinkToFit="1"/>
    </xf>
    <xf numFmtId="180" fontId="20" fillId="0" borderId="10" xfId="0" applyNumberFormat="1" applyFont="1" applyFill="1" applyBorder="1" applyAlignment="1">
      <alignment horizontal="right" vertical="center" indent="1" shrinkToFit="1"/>
    </xf>
    <xf numFmtId="180" fontId="20" fillId="0" borderId="23" xfId="0" applyNumberFormat="1" applyFont="1" applyFill="1" applyBorder="1" applyAlignment="1">
      <alignment horizontal="right" vertical="center" wrapText="1" indent="1" shrinkToFit="1"/>
    </xf>
    <xf numFmtId="180" fontId="20" fillId="0" borderId="18" xfId="0" applyNumberFormat="1" applyFont="1" applyFill="1" applyBorder="1" applyAlignment="1">
      <alignment horizontal="right" vertical="center" wrapText="1" indent="1" shrinkToFit="1"/>
    </xf>
    <xf numFmtId="180" fontId="20" fillId="0" borderId="10" xfId="0" applyNumberFormat="1" applyFont="1" applyFill="1" applyBorder="1" applyAlignment="1">
      <alignment horizontal="right" vertical="center" wrapText="1" indent="1" shrinkToFit="1"/>
    </xf>
    <xf numFmtId="180" fontId="20" fillId="0" borderId="84" xfId="0" applyNumberFormat="1" applyFont="1" applyFill="1" applyBorder="1" applyAlignment="1">
      <alignment horizontal="right" vertical="center" wrapText="1" indent="1" shrinkToFit="1"/>
    </xf>
    <xf numFmtId="180" fontId="20" fillId="0" borderId="46" xfId="0" applyNumberFormat="1" applyFont="1" applyFill="1" applyBorder="1" applyAlignment="1">
      <alignment horizontal="right" vertical="center" wrapText="1" indent="1" shrinkToFit="1"/>
    </xf>
    <xf numFmtId="180" fontId="20" fillId="0" borderId="85" xfId="0" applyNumberFormat="1" applyFont="1" applyFill="1" applyBorder="1" applyAlignment="1">
      <alignment horizontal="right" vertical="center" wrapText="1" indent="1" shrinkToFit="1"/>
    </xf>
    <xf numFmtId="0" fontId="5" fillId="0" borderId="19" xfId="0" applyFont="1" applyBorder="1" applyAlignment="1">
      <alignment horizontal="center" vertical="center" wrapText="1"/>
    </xf>
    <xf numFmtId="180" fontId="3" fillId="0" borderId="7" xfId="0" applyNumberFormat="1" applyFont="1" applyBorder="1" applyAlignment="1">
      <alignment horizontal="right" vertical="center" wrapText="1" indent="1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31" xfId="0" applyFont="1" applyFill="1" applyBorder="1" applyAlignment="1">
      <alignment horizontal="center" vertical="center" wrapText="1"/>
    </xf>
    <xf numFmtId="0" fontId="9" fillId="0" borderId="129" xfId="0" applyFont="1" applyFill="1" applyBorder="1" applyAlignment="1">
      <alignment horizontal="center" vertical="center" wrapText="1"/>
    </xf>
    <xf numFmtId="0" fontId="9" fillId="0" borderId="1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132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32" fontId="20" fillId="0" borderId="7" xfId="0" applyNumberFormat="1" applyFont="1" applyFill="1" applyBorder="1" applyAlignment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 shrinkToFit="1"/>
    </xf>
    <xf numFmtId="0" fontId="20" fillId="0" borderId="18" xfId="0" applyFont="1" applyFill="1" applyBorder="1" applyAlignment="1" applyProtection="1">
      <alignment horizontal="center" vertical="center" shrinkToFit="1"/>
    </xf>
    <xf numFmtId="0" fontId="20" fillId="0" borderId="10" xfId="0" applyFont="1" applyFill="1" applyBorder="1" applyAlignment="1" applyProtection="1">
      <alignment horizontal="center" vertical="center" shrinkToFit="1"/>
    </xf>
    <xf numFmtId="20" fontId="20" fillId="0" borderId="7" xfId="0" applyNumberFormat="1" applyFont="1" applyFill="1" applyBorder="1" applyAlignment="1">
      <alignment horizontal="center" vertical="center" wrapText="1"/>
    </xf>
    <xf numFmtId="176" fontId="9" fillId="0" borderId="81" xfId="0" applyNumberFormat="1" applyFont="1" applyBorder="1" applyAlignment="1">
      <alignment horizontal="center" vertical="center" wrapText="1"/>
    </xf>
    <xf numFmtId="176" fontId="9" fillId="0" borderId="27" xfId="0" applyNumberFormat="1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176" fontId="9" fillId="0" borderId="81" xfId="0" applyNumberFormat="1" applyFont="1" applyFill="1" applyBorder="1" applyAlignment="1">
      <alignment horizontal="center" vertical="center" wrapText="1"/>
    </xf>
    <xf numFmtId="176" fontId="9" fillId="0" borderId="27" xfId="0" applyNumberFormat="1" applyFont="1" applyFill="1" applyBorder="1" applyAlignment="1">
      <alignment horizontal="center" vertical="center" wrapText="1"/>
    </xf>
    <xf numFmtId="181" fontId="20" fillId="0" borderId="23" xfId="0" applyNumberFormat="1" applyFont="1" applyBorder="1" applyAlignment="1">
      <alignment horizontal="center" vertical="center" wrapText="1"/>
    </xf>
    <xf numFmtId="181" fontId="20" fillId="0" borderId="18" xfId="0" applyNumberFormat="1" applyFont="1" applyBorder="1" applyAlignment="1">
      <alignment horizontal="center" vertical="center" wrapText="1"/>
    </xf>
    <xf numFmtId="181" fontId="20" fillId="0" borderId="10" xfId="0" applyNumberFormat="1" applyFont="1" applyBorder="1" applyAlignment="1">
      <alignment horizontal="center" vertical="center" wrapText="1"/>
    </xf>
    <xf numFmtId="176" fontId="9" fillId="0" borderId="44" xfId="0" applyNumberFormat="1" applyFont="1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left" vertical="center" wrapText="1"/>
    </xf>
    <xf numFmtId="0" fontId="36" fillId="0" borderId="54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58" fontId="9" fillId="0" borderId="23" xfId="0" applyNumberFormat="1" applyFont="1" applyFill="1" applyBorder="1" applyAlignment="1">
      <alignment horizontal="center" vertical="center" wrapText="1"/>
    </xf>
    <xf numFmtId="58" fontId="9" fillId="0" borderId="18" xfId="0" applyNumberFormat="1" applyFont="1" applyFill="1" applyBorder="1" applyAlignment="1">
      <alignment horizontal="center" vertical="center" wrapText="1"/>
    </xf>
    <xf numFmtId="179" fontId="9" fillId="0" borderId="7" xfId="0" applyNumberFormat="1" applyFont="1" applyFill="1" applyBorder="1" applyAlignment="1">
      <alignment horizontal="center" vertical="center" wrapText="1"/>
    </xf>
    <xf numFmtId="179" fontId="9" fillId="0" borderId="19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54" fillId="9" borderId="0" xfId="1" applyFont="1" applyFill="1" applyAlignment="1" applyProtection="1">
      <alignment horizontal="center" vertical="center"/>
    </xf>
    <xf numFmtId="0" fontId="56" fillId="6" borderId="137" xfId="0" applyFont="1" applyFill="1" applyBorder="1" applyAlignment="1">
      <alignment horizontal="center"/>
    </xf>
    <xf numFmtId="0" fontId="57" fillId="6" borderId="137" xfId="0" applyFont="1" applyFill="1" applyBorder="1" applyAlignment="1">
      <alignment horizontal="center"/>
    </xf>
    <xf numFmtId="0" fontId="54" fillId="7" borderId="0" xfId="1" applyFont="1" applyFill="1" applyAlignment="1" applyProtection="1">
      <alignment horizontal="center" vertical="center"/>
    </xf>
    <xf numFmtId="0" fontId="0" fillId="3" borderId="109" xfId="0" applyFill="1" applyBorder="1" applyAlignment="1">
      <alignment horizontal="justify" vertical="center" wrapText="1"/>
    </xf>
    <xf numFmtId="0" fontId="0" fillId="3" borderId="110" xfId="0" applyFill="1" applyBorder="1" applyAlignment="1">
      <alignment horizontal="justify" vertical="center" wrapText="1"/>
    </xf>
    <xf numFmtId="0" fontId="0" fillId="3" borderId="111" xfId="0" applyFill="1" applyBorder="1" applyAlignment="1">
      <alignment horizontal="justify" vertical="center" wrapText="1"/>
    </xf>
    <xf numFmtId="0" fontId="45" fillId="3" borderId="118" xfId="0" applyFont="1" applyFill="1" applyBorder="1" applyAlignment="1">
      <alignment horizontal="center" vertical="center" wrapText="1"/>
    </xf>
    <xf numFmtId="0" fontId="45" fillId="3" borderId="119" xfId="0" applyFont="1" applyFill="1" applyBorder="1" applyAlignment="1">
      <alignment horizontal="center" vertical="center" wrapText="1"/>
    </xf>
    <xf numFmtId="0" fontId="0" fillId="3" borderId="120" xfId="0" applyFill="1" applyBorder="1" applyAlignment="1">
      <alignment horizontal="justify" vertical="center" wrapText="1"/>
    </xf>
    <xf numFmtId="0" fontId="0" fillId="3" borderId="121" xfId="0" applyFill="1" applyBorder="1" applyAlignment="1">
      <alignment horizontal="justify" vertical="center" wrapText="1"/>
    </xf>
    <xf numFmtId="0" fontId="0" fillId="3" borderId="106" xfId="0" applyFill="1" applyBorder="1" applyAlignment="1">
      <alignment horizontal="center" vertical="center" wrapText="1"/>
    </xf>
    <xf numFmtId="0" fontId="0" fillId="3" borderId="107" xfId="0" applyFill="1" applyBorder="1" applyAlignment="1">
      <alignment horizontal="center" vertical="center" wrapText="1"/>
    </xf>
    <xf numFmtId="0" fontId="0" fillId="3" borderId="108" xfId="0" applyFill="1" applyBorder="1" applyAlignment="1">
      <alignment horizontal="center" vertical="center" wrapText="1"/>
    </xf>
    <xf numFmtId="0" fontId="44" fillId="3" borderId="109" xfId="0" applyFont="1" applyFill="1" applyBorder="1" applyAlignment="1">
      <alignment horizontal="justify" vertical="center" wrapText="1"/>
    </xf>
    <xf numFmtId="0" fontId="44" fillId="3" borderId="110" xfId="0" applyFont="1" applyFill="1" applyBorder="1" applyAlignment="1">
      <alignment horizontal="justify" vertical="center" wrapText="1"/>
    </xf>
    <xf numFmtId="0" fontId="44" fillId="3" borderId="111" xfId="0" applyFont="1" applyFill="1" applyBorder="1" applyAlignment="1">
      <alignment horizontal="justify" vertical="center" wrapText="1"/>
    </xf>
    <xf numFmtId="0" fontId="0" fillId="3" borderId="92" xfId="0" applyFill="1" applyBorder="1" applyAlignment="1">
      <alignment horizontal="center" vertical="center" wrapText="1"/>
    </xf>
    <xf numFmtId="0" fontId="45" fillId="3" borderId="112" xfId="0" applyFont="1" applyFill="1" applyBorder="1" applyAlignment="1">
      <alignment horizontal="center" vertical="center" wrapText="1"/>
    </xf>
    <xf numFmtId="0" fontId="45" fillId="3" borderId="113" xfId="0" applyFont="1" applyFill="1" applyBorder="1" applyAlignment="1">
      <alignment horizontal="center" vertical="center" wrapText="1"/>
    </xf>
    <xf numFmtId="0" fontId="0" fillId="3" borderId="114" xfId="0" applyFill="1" applyBorder="1" applyAlignment="1">
      <alignment horizontal="center" vertical="center" wrapText="1"/>
    </xf>
    <xf numFmtId="0" fontId="0" fillId="3" borderId="115" xfId="0" applyFill="1" applyBorder="1" applyAlignment="1">
      <alignment horizontal="center" vertical="center" wrapText="1"/>
    </xf>
    <xf numFmtId="0" fontId="0" fillId="3" borderId="116" xfId="0" applyFill="1" applyBorder="1" applyAlignment="1">
      <alignment horizontal="center" vertical="center" wrapText="1"/>
    </xf>
    <xf numFmtId="0" fontId="0" fillId="3" borderId="117" xfId="0" applyFill="1" applyBorder="1" applyAlignment="1">
      <alignment horizontal="center" vertical="center" wrapText="1"/>
    </xf>
    <xf numFmtId="0" fontId="0" fillId="3" borderId="138" xfId="0" applyFont="1" applyFill="1" applyBorder="1" applyAlignment="1">
      <alignment horizontal="center" vertical="center" wrapText="1"/>
    </xf>
    <xf numFmtId="0" fontId="0" fillId="3" borderId="139" xfId="0" applyFont="1" applyFill="1" applyBorder="1" applyAlignment="1">
      <alignment horizontal="center" vertical="center" wrapText="1"/>
    </xf>
    <xf numFmtId="0" fontId="0" fillId="3" borderId="140" xfId="0" applyFont="1" applyFill="1" applyBorder="1" applyAlignment="1">
      <alignment horizontal="center" vertical="center" wrapText="1"/>
    </xf>
    <xf numFmtId="0" fontId="0" fillId="3" borderId="141" xfId="0" applyFont="1" applyFill="1" applyBorder="1" applyAlignment="1">
      <alignment horizontal="center" vertical="center" wrapText="1"/>
    </xf>
    <xf numFmtId="0" fontId="0" fillId="3" borderId="14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2" borderId="91" xfId="0" applyFill="1" applyBorder="1" applyAlignment="1">
      <alignment horizontal="center" vertical="center" wrapText="1"/>
    </xf>
    <xf numFmtId="0" fontId="0" fillId="2" borderId="99" xfId="0" applyFill="1" applyBorder="1" applyAlignment="1">
      <alignment horizontal="center" vertical="center" wrapText="1"/>
    </xf>
    <xf numFmtId="0" fontId="44" fillId="2" borderId="93" xfId="0" applyFont="1" applyFill="1" applyBorder="1" applyAlignment="1">
      <alignment horizontal="justify" vertical="center" wrapText="1"/>
    </xf>
    <xf numFmtId="0" fontId="44" fillId="2" borderId="100" xfId="0" applyFont="1" applyFill="1" applyBorder="1" applyAlignment="1">
      <alignment horizontal="justify" vertical="center" wrapText="1"/>
    </xf>
    <xf numFmtId="0" fontId="0" fillId="2" borderId="98" xfId="0" applyFill="1" applyBorder="1" applyAlignment="1">
      <alignment horizontal="center" vertical="center" wrapText="1"/>
    </xf>
    <xf numFmtId="0" fontId="0" fillId="2" borderId="97" xfId="0" applyFill="1" applyBorder="1" applyAlignment="1">
      <alignment horizontal="center" vertical="center" wrapText="1"/>
    </xf>
    <xf numFmtId="0" fontId="45" fillId="2" borderId="101" xfId="0" applyFont="1" applyFill="1" applyBorder="1" applyAlignment="1">
      <alignment horizontal="center" vertical="center" wrapText="1"/>
    </xf>
    <xf numFmtId="0" fontId="45" fillId="2" borderId="102" xfId="0" applyFont="1" applyFill="1" applyBorder="1" applyAlignment="1">
      <alignment horizontal="center" vertical="center" wrapText="1"/>
    </xf>
    <xf numFmtId="0" fontId="45" fillId="2" borderId="103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0" fillId="2" borderId="104" xfId="0" applyFill="1" applyBorder="1" applyAlignment="1">
      <alignment horizontal="justify" vertical="center" wrapText="1"/>
    </xf>
    <xf numFmtId="0" fontId="0" fillId="2" borderId="105" xfId="0" applyFill="1" applyBorder="1" applyAlignment="1">
      <alignment horizontal="justify" vertical="center" wrapText="1"/>
    </xf>
    <xf numFmtId="0" fontId="43" fillId="0" borderId="88" xfId="0" applyFont="1" applyFill="1" applyBorder="1" applyAlignment="1">
      <alignment horizontal="center" vertical="center" wrapText="1"/>
    </xf>
    <xf numFmtId="0" fontId="43" fillId="0" borderId="89" xfId="0" applyFont="1" applyFill="1" applyBorder="1" applyAlignment="1">
      <alignment horizontal="center" vertical="center" wrapText="1"/>
    </xf>
    <xf numFmtId="0" fontId="43" fillId="0" borderId="90" xfId="0" applyFont="1" applyFill="1" applyBorder="1" applyAlignment="1">
      <alignment horizontal="center" vertical="center" wrapText="1"/>
    </xf>
    <xf numFmtId="0" fontId="5" fillId="4" borderId="91" xfId="0" applyFont="1" applyFill="1" applyBorder="1" applyAlignment="1">
      <alignment horizontal="center" vertical="center" wrapText="1"/>
    </xf>
    <xf numFmtId="0" fontId="5" fillId="4" borderId="9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wrapText="1"/>
    </xf>
    <xf numFmtId="0" fontId="5" fillId="4" borderId="96" xfId="0" applyFont="1" applyFill="1" applyBorder="1" applyAlignment="1">
      <alignment horizontal="center" vertical="center" wrapText="1"/>
    </xf>
    <xf numFmtId="0" fontId="5" fillId="4" borderId="97" xfId="0" applyFont="1" applyFill="1" applyBorder="1" applyAlignment="1">
      <alignment horizontal="center" vertical="center" wrapText="1"/>
    </xf>
    <xf numFmtId="0" fontId="5" fillId="4" borderId="98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59">
    <dxf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C"/>
      <color rgb="FFFF9900"/>
      <color rgb="FF99FFCC"/>
      <color rgb="FFCCFFCC"/>
      <color rgb="FFDDDDDD"/>
      <color rgb="FFEFEFF5"/>
      <color rgb="FFCFCFDF"/>
      <color rgb="FFDEDEEA"/>
      <color rgb="FFE3E3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66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66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ogle.com.tw/maps/" TargetMode="External"/><Relationship Id="rId1" Type="http://schemas.openxmlformats.org/officeDocument/2006/relationships/hyperlink" Target="http://www.railway.gov.tw/tw/ticketprice_excel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15"/>
  </sheetPr>
  <dimension ref="A1:AP32"/>
  <sheetViews>
    <sheetView tabSelected="1" zoomScale="110" zoomScaleNormal="110" workbookViewId="0">
      <selection activeCell="U8" sqref="U8:AB8"/>
    </sheetView>
  </sheetViews>
  <sheetFormatPr defaultRowHeight="16.5"/>
  <cols>
    <col min="1" max="1" width="3.875" style="9" customWidth="1"/>
    <col min="2" max="2" width="2.625" style="9" customWidth="1"/>
    <col min="3" max="3" width="1.375" style="9" customWidth="1"/>
    <col min="4" max="4" width="2.625" style="9" customWidth="1"/>
    <col min="5" max="5" width="2.125" style="9" customWidth="1"/>
    <col min="6" max="6" width="3.375" style="9" customWidth="1"/>
    <col min="7" max="7" width="3.625" style="9" customWidth="1"/>
    <col min="8" max="8" width="4.25" style="9" customWidth="1"/>
    <col min="9" max="9" width="3.25" style="9" customWidth="1"/>
    <col min="10" max="10" width="3.625" style="9" customWidth="1"/>
    <col min="11" max="11" width="2.5" style="9" customWidth="1"/>
    <col min="12" max="12" width="1.75" style="9" customWidth="1"/>
    <col min="13" max="13" width="0.5" style="9" hidden="1" customWidth="1"/>
    <col min="14" max="14" width="0.375" style="9" hidden="1" customWidth="1"/>
    <col min="15" max="15" width="2.875" style="9" customWidth="1"/>
    <col min="16" max="16" width="1.125" style="9" customWidth="1"/>
    <col min="17" max="17" width="4" style="9" customWidth="1"/>
    <col min="18" max="18" width="2.625" style="9" hidden="1" customWidth="1"/>
    <col min="19" max="19" width="4.125" style="9" customWidth="1"/>
    <col min="20" max="20" width="2.5" style="9" customWidth="1"/>
    <col min="21" max="21" width="1.75" style="9" customWidth="1"/>
    <col min="22" max="22" width="2.375" style="9" customWidth="1"/>
    <col min="23" max="23" width="2" style="9" customWidth="1"/>
    <col min="24" max="24" width="0.5" style="9" hidden="1" customWidth="1"/>
    <col min="25" max="25" width="3.25" style="9" customWidth="1"/>
    <col min="26" max="26" width="1.625" style="9" customWidth="1"/>
    <col min="27" max="27" width="2.625" style="9" customWidth="1"/>
    <col min="28" max="28" width="4" style="9" customWidth="1"/>
    <col min="29" max="29" width="2.625" style="9" customWidth="1"/>
    <col min="30" max="30" width="0.625" style="9" customWidth="1"/>
    <col min="31" max="31" width="2.625" style="9" customWidth="1"/>
    <col min="32" max="32" width="3.5" style="9" customWidth="1"/>
    <col min="33" max="33" width="4.875" style="9" customWidth="1"/>
    <col min="34" max="34" width="3.5" style="9" customWidth="1"/>
    <col min="35" max="37" width="3.625" style="9" customWidth="1"/>
    <col min="38" max="38" width="5.25" style="9" customWidth="1"/>
    <col min="39" max="39" width="3.625" style="9" customWidth="1"/>
    <col min="40" max="40" width="9" style="9"/>
    <col min="41" max="41" width="14.75" style="9" customWidth="1"/>
    <col min="42" max="42" width="15" style="9" bestFit="1" customWidth="1"/>
    <col min="43" max="16384" width="9" style="9"/>
  </cols>
  <sheetData>
    <row r="1" spans="1:42" ht="29.25" customHeight="1" thickBot="1">
      <c r="A1" s="20" t="s">
        <v>132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72"/>
      <c r="X1" s="72"/>
      <c r="Y1" s="72"/>
      <c r="Z1" s="72"/>
      <c r="AA1" s="72"/>
      <c r="AB1" s="20"/>
      <c r="AC1" s="20"/>
      <c r="AD1" s="20"/>
      <c r="AE1" s="20"/>
      <c r="AF1" s="20"/>
      <c r="AG1" s="20"/>
      <c r="AH1" s="205">
        <f ca="1">TODAY()</f>
        <v>42825</v>
      </c>
      <c r="AI1" s="205"/>
      <c r="AJ1" s="205"/>
      <c r="AK1" s="205"/>
      <c r="AL1" s="205"/>
      <c r="AM1" s="8" t="s">
        <v>29</v>
      </c>
    </row>
    <row r="2" spans="1:42" ht="27.75" customHeight="1" thickTop="1">
      <c r="A2" s="237" t="s">
        <v>0</v>
      </c>
      <c r="B2" s="235"/>
      <c r="C2" s="235"/>
      <c r="D2" s="235"/>
      <c r="E2" s="235"/>
      <c r="F2" s="231"/>
      <c r="G2" s="230" t="s">
        <v>1</v>
      </c>
      <c r="H2" s="231"/>
      <c r="I2" s="230" t="s">
        <v>2</v>
      </c>
      <c r="J2" s="235"/>
      <c r="K2" s="235"/>
      <c r="L2" s="235"/>
      <c r="M2" s="235"/>
      <c r="N2" s="235"/>
      <c r="O2" s="235"/>
      <c r="P2" s="235"/>
      <c r="Q2" s="227" t="str">
        <f>W1&amp;"地點"</f>
        <v>地點</v>
      </c>
      <c r="R2" s="228"/>
      <c r="S2" s="228"/>
      <c r="T2" s="229"/>
      <c r="U2" s="230" t="s">
        <v>125</v>
      </c>
      <c r="V2" s="235"/>
      <c r="W2" s="231"/>
      <c r="X2" s="70"/>
      <c r="Y2" s="235" t="s">
        <v>128</v>
      </c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6"/>
    </row>
    <row r="3" spans="1:42" ht="42" customHeight="1">
      <c r="A3" s="242" t="s">
        <v>189</v>
      </c>
      <c r="B3" s="208"/>
      <c r="C3" s="208"/>
      <c r="D3" s="208"/>
      <c r="E3" s="208"/>
      <c r="F3" s="223"/>
      <c r="G3" s="207" t="s">
        <v>190</v>
      </c>
      <c r="H3" s="223"/>
      <c r="I3" s="207" t="s">
        <v>191</v>
      </c>
      <c r="J3" s="208"/>
      <c r="K3" s="208"/>
      <c r="L3" s="208"/>
      <c r="M3" s="208"/>
      <c r="N3" s="208"/>
      <c r="O3" s="208"/>
      <c r="P3" s="208"/>
      <c r="Q3" s="206" t="s">
        <v>192</v>
      </c>
      <c r="R3" s="206"/>
      <c r="S3" s="206"/>
      <c r="T3" s="206"/>
      <c r="U3" s="244" t="s">
        <v>92</v>
      </c>
      <c r="V3" s="245"/>
      <c r="W3" s="246"/>
      <c r="X3" s="71"/>
      <c r="Y3" s="247" t="s">
        <v>193</v>
      </c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8"/>
    </row>
    <row r="4" spans="1:42" s="10" customFormat="1" ht="36" customHeight="1">
      <c r="A4" s="258" t="s">
        <v>127</v>
      </c>
      <c r="B4" s="259"/>
      <c r="C4" s="259"/>
      <c r="D4" s="259"/>
      <c r="E4" s="259"/>
      <c r="F4" s="260"/>
      <c r="G4" s="67" t="s">
        <v>77</v>
      </c>
      <c r="H4" s="224">
        <v>106</v>
      </c>
      <c r="I4" s="224"/>
      <c r="J4" s="53" t="s">
        <v>73</v>
      </c>
      <c r="K4" s="232">
        <v>4</v>
      </c>
      <c r="L4" s="232"/>
      <c r="M4" s="54"/>
      <c r="N4" s="54"/>
      <c r="O4" s="225" t="s">
        <v>74</v>
      </c>
      <c r="P4" s="225"/>
      <c r="Q4" s="225">
        <v>5</v>
      </c>
      <c r="R4" s="225"/>
      <c r="S4" s="224" t="s">
        <v>66</v>
      </c>
      <c r="T4" s="226"/>
      <c r="U4" s="209" t="s">
        <v>184</v>
      </c>
      <c r="V4" s="210"/>
      <c r="W4" s="210"/>
      <c r="X4" s="210"/>
      <c r="Y4" s="211"/>
      <c r="Z4" s="207" t="str">
        <f>IF(U4="下午","11時40分","07時40分")</f>
        <v>11時40分</v>
      </c>
      <c r="AA4" s="208"/>
      <c r="AB4" s="208"/>
      <c r="AC4" s="208"/>
      <c r="AD4" s="208"/>
      <c r="AE4" s="208"/>
      <c r="AF4" s="55" t="s">
        <v>71</v>
      </c>
      <c r="AG4" s="217" t="s">
        <v>130</v>
      </c>
      <c r="AH4" s="218"/>
      <c r="AI4" s="218"/>
      <c r="AJ4" s="219"/>
      <c r="AK4" s="215" t="s">
        <v>46</v>
      </c>
      <c r="AL4" s="215">
        <f>IF(U4="全日",DATEVALUE(H5+1911&amp;J5&amp;K5&amp;O5&amp;Q5&amp;S5)-DATEVALUE(H4+1911&amp;J4&amp;K4&amp;O4&amp;Q4&amp;S4)+1,DATEVALUE(H5+1911&amp;J5&amp;K5&amp;O5&amp;Q5&amp;S5)-DATEVALUE(H4+1911&amp;J4&amp;K4&amp;O4&amp;Q4&amp;S4)+0.5)</f>
        <v>0.5</v>
      </c>
      <c r="AM4" s="233" t="s">
        <v>66</v>
      </c>
    </row>
    <row r="5" spans="1:42" s="10" customFormat="1" ht="36" customHeight="1">
      <c r="A5" s="261" t="s">
        <v>47</v>
      </c>
      <c r="B5" s="221"/>
      <c r="C5" s="221"/>
      <c r="D5" s="221"/>
      <c r="E5" s="221"/>
      <c r="F5" s="222"/>
      <c r="G5" s="67" t="s">
        <v>65</v>
      </c>
      <c r="H5" s="224">
        <v>106</v>
      </c>
      <c r="I5" s="224"/>
      <c r="J5" s="53" t="s">
        <v>73</v>
      </c>
      <c r="K5" s="232">
        <v>4</v>
      </c>
      <c r="L5" s="232"/>
      <c r="M5" s="54"/>
      <c r="N5" s="54"/>
      <c r="O5" s="225" t="s">
        <v>74</v>
      </c>
      <c r="P5" s="225"/>
      <c r="Q5" s="225">
        <v>5</v>
      </c>
      <c r="R5" s="225"/>
      <c r="S5" s="224" t="s">
        <v>66</v>
      </c>
      <c r="T5" s="226"/>
      <c r="U5" s="212"/>
      <c r="V5" s="213"/>
      <c r="W5" s="213"/>
      <c r="X5" s="213"/>
      <c r="Y5" s="214"/>
      <c r="Z5" s="207" t="str">
        <f>IF(U4="上午","12時40分","15時40分")</f>
        <v>15時40分</v>
      </c>
      <c r="AA5" s="208"/>
      <c r="AB5" s="208"/>
      <c r="AC5" s="208"/>
      <c r="AD5" s="208"/>
      <c r="AE5" s="208"/>
      <c r="AF5" s="55" t="s">
        <v>72</v>
      </c>
      <c r="AG5" s="220"/>
      <c r="AH5" s="221"/>
      <c r="AI5" s="221"/>
      <c r="AJ5" s="222"/>
      <c r="AK5" s="216"/>
      <c r="AL5" s="216"/>
      <c r="AM5" s="234"/>
    </row>
    <row r="6" spans="1:42" s="10" customFormat="1" ht="19.5" customHeight="1">
      <c r="A6" s="167" t="s">
        <v>129</v>
      </c>
      <c r="B6" s="168"/>
      <c r="C6" s="168"/>
      <c r="D6" s="168"/>
      <c r="E6" s="168"/>
      <c r="F6" s="168"/>
      <c r="G6" s="168" t="s">
        <v>30</v>
      </c>
      <c r="H6" s="168"/>
      <c r="I6" s="168"/>
      <c r="J6" s="168"/>
      <c r="K6" s="168"/>
      <c r="L6" s="116" t="s">
        <v>31</v>
      </c>
      <c r="M6" s="117"/>
      <c r="N6" s="117"/>
      <c r="O6" s="117"/>
      <c r="P6" s="117"/>
      <c r="Q6" s="117"/>
      <c r="R6" s="117"/>
      <c r="S6" s="117"/>
      <c r="T6" s="238"/>
      <c r="U6" s="116" t="s">
        <v>32</v>
      </c>
      <c r="V6" s="117"/>
      <c r="W6" s="117"/>
      <c r="X6" s="117"/>
      <c r="Y6" s="117"/>
      <c r="Z6" s="117"/>
      <c r="AA6" s="117"/>
      <c r="AB6" s="117"/>
      <c r="AC6" s="110" t="s">
        <v>34</v>
      </c>
      <c r="AD6" s="111"/>
      <c r="AE6" s="111"/>
      <c r="AF6" s="111"/>
      <c r="AG6" s="111"/>
      <c r="AH6" s="112"/>
      <c r="AI6" s="179" t="s">
        <v>33</v>
      </c>
      <c r="AJ6" s="182"/>
      <c r="AK6" s="182"/>
      <c r="AL6" s="182"/>
      <c r="AM6" s="243"/>
      <c r="AP6" s="19"/>
    </row>
    <row r="7" spans="1:42" s="10" customFormat="1" ht="18" customHeight="1">
      <c r="A7" s="167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239" t="s">
        <v>50</v>
      </c>
      <c r="M7" s="240"/>
      <c r="N7" s="240"/>
      <c r="O7" s="240"/>
      <c r="P7" s="240"/>
      <c r="Q7" s="240"/>
      <c r="R7" s="240"/>
      <c r="S7" s="240"/>
      <c r="T7" s="241"/>
      <c r="U7" s="118"/>
      <c r="V7" s="119"/>
      <c r="W7" s="119"/>
      <c r="X7" s="119"/>
      <c r="Y7" s="119"/>
      <c r="Z7" s="119"/>
      <c r="AA7" s="119"/>
      <c r="AB7" s="119"/>
      <c r="AC7" s="113"/>
      <c r="AD7" s="114"/>
      <c r="AE7" s="114"/>
      <c r="AF7" s="114"/>
      <c r="AG7" s="114"/>
      <c r="AH7" s="115"/>
      <c r="AI7" s="179"/>
      <c r="AJ7" s="182"/>
      <c r="AK7" s="182"/>
      <c r="AL7" s="182"/>
      <c r="AM7" s="243"/>
    </row>
    <row r="8" spans="1:42" s="10" customFormat="1" ht="45.75" customHeight="1" thickBot="1">
      <c r="A8" s="138"/>
      <c r="B8" s="139"/>
      <c r="C8" s="139"/>
      <c r="D8" s="139"/>
      <c r="E8" s="139"/>
      <c r="F8" s="139"/>
      <c r="G8" s="134"/>
      <c r="H8" s="134"/>
      <c r="I8" s="134"/>
      <c r="J8" s="134"/>
      <c r="K8" s="134"/>
      <c r="L8" s="101" t="s">
        <v>35</v>
      </c>
      <c r="M8" s="102"/>
      <c r="N8" s="102"/>
      <c r="O8" s="102"/>
      <c r="P8" s="102"/>
      <c r="Q8" s="102"/>
      <c r="R8" s="102"/>
      <c r="S8" s="102"/>
      <c r="T8" s="103"/>
      <c r="U8" s="101"/>
      <c r="V8" s="102"/>
      <c r="W8" s="102"/>
      <c r="X8" s="102"/>
      <c r="Y8" s="102"/>
      <c r="Z8" s="102"/>
      <c r="AA8" s="102"/>
      <c r="AB8" s="103"/>
      <c r="AC8" s="104"/>
      <c r="AD8" s="105"/>
      <c r="AE8" s="105"/>
      <c r="AF8" s="105"/>
      <c r="AG8" s="105"/>
      <c r="AH8" s="106"/>
      <c r="AI8" s="107"/>
      <c r="AJ8" s="108"/>
      <c r="AK8" s="108"/>
      <c r="AL8" s="108"/>
      <c r="AM8" s="109"/>
    </row>
    <row r="9" spans="1:42" s="10" customFormat="1" ht="50.25" customHeight="1" thickTop="1">
      <c r="A9" s="120" t="s">
        <v>78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</row>
    <row r="10" spans="1:42" ht="21" customHeight="1"/>
    <row r="11" spans="1:42" s="10" customFormat="1" ht="49.5" customHeight="1" thickBot="1">
      <c r="A11" s="121" t="str">
        <f>"桃園市蘆竹區大華國民小學公差(假)旅費報告表"</f>
        <v>桃園市蘆竹區大華國民小學公差(假)旅費報告表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42" s="10" customFormat="1" ht="17.25" thickTop="1">
      <c r="A12" s="88" t="s">
        <v>3</v>
      </c>
      <c r="B12" s="89"/>
      <c r="C12" s="89"/>
      <c r="D12" s="90"/>
      <c r="E12" s="190" t="s">
        <v>4</v>
      </c>
      <c r="F12" s="89"/>
      <c r="G12" s="89"/>
      <c r="H12" s="89"/>
      <c r="I12" s="89"/>
      <c r="J12" s="90"/>
      <c r="K12" s="193" t="s">
        <v>36</v>
      </c>
      <c r="L12" s="194"/>
      <c r="M12" s="194"/>
      <c r="N12" s="194"/>
      <c r="O12" s="195"/>
      <c r="P12" s="195"/>
      <c r="Q12" s="195"/>
      <c r="R12" s="194"/>
      <c r="S12" s="194"/>
      <c r="T12" s="194"/>
      <c r="U12" s="194"/>
      <c r="V12" s="194"/>
      <c r="W12" s="194"/>
      <c r="X12" s="196"/>
      <c r="Y12" s="190" t="s">
        <v>5</v>
      </c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201"/>
    </row>
    <row r="13" spans="1:42" s="10" customFormat="1">
      <c r="A13" s="91"/>
      <c r="B13" s="92"/>
      <c r="C13" s="92"/>
      <c r="D13" s="93"/>
      <c r="E13" s="191"/>
      <c r="F13" s="92"/>
      <c r="G13" s="92"/>
      <c r="H13" s="92"/>
      <c r="I13" s="92"/>
      <c r="J13" s="93"/>
      <c r="K13" s="129" t="s">
        <v>6</v>
      </c>
      <c r="L13" s="183"/>
      <c r="M13" s="183"/>
      <c r="N13" s="183"/>
      <c r="O13" s="100" t="s">
        <v>7</v>
      </c>
      <c r="P13" s="100"/>
      <c r="Q13" s="7" t="s">
        <v>8</v>
      </c>
      <c r="R13" s="2"/>
      <c r="S13" s="2" t="s">
        <v>37</v>
      </c>
      <c r="T13" s="129" t="s">
        <v>9</v>
      </c>
      <c r="U13" s="130"/>
      <c r="V13" s="129" t="s">
        <v>10</v>
      </c>
      <c r="W13" s="183"/>
      <c r="X13" s="130"/>
      <c r="Y13" s="191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202"/>
    </row>
    <row r="14" spans="1:42" s="10" customFormat="1" ht="20.25" customHeight="1">
      <c r="A14" s="123"/>
      <c r="B14" s="124"/>
      <c r="C14" s="124"/>
      <c r="D14" s="125"/>
      <c r="E14" s="249" t="s">
        <v>64</v>
      </c>
      <c r="F14" s="250"/>
      <c r="G14" s="250"/>
      <c r="H14" s="250"/>
      <c r="I14" s="250"/>
      <c r="J14" s="251"/>
      <c r="K14" s="94" t="str">
        <f>IF(LEN(AK26)-5&lt;1,IF(LEN(AK26)=5,"$",""),MIDB(AK26,LEN(AK26)-5,1))</f>
        <v/>
      </c>
      <c r="L14" s="95"/>
      <c r="M14" s="95"/>
      <c r="N14" s="96"/>
      <c r="O14" s="255" t="str">
        <f>IF(LEN(AK26)-4&lt;1,IF(LEN(AK26)=4,"$",""),MIDB(AK26,LEN(AK26)-4,1))</f>
        <v/>
      </c>
      <c r="P14" s="256"/>
      <c r="Q14" s="192" t="str">
        <f>IF(LEN(AK26)-3&lt;1,IF(LEN(AK26)=3,"$",""),MIDB(AK26,LEN(AK26)-3,1))</f>
        <v>$</v>
      </c>
      <c r="R14" s="5"/>
      <c r="S14" s="96" t="str">
        <f>IF(LEN(AK26)-2&lt;1,IF(LEN(AK26)=2,"$",""),MIDB(AK26,LEN(AK26)-2,1))</f>
        <v>2</v>
      </c>
      <c r="T14" s="94" t="str">
        <f>IF(LEN(AK26)-1&lt;1,IF(LEN(AK26)=1,"$",""),MIDB(AK26,LEN(AK26)-1,1))</f>
        <v>6</v>
      </c>
      <c r="U14" s="132"/>
      <c r="V14" s="94" t="str">
        <f>IF(LEN(AK26)-0&lt;1,IF(LEN(AK26)=0,"$",""),MIDB(AK26,LEN(AK26)-0,1))</f>
        <v>6</v>
      </c>
      <c r="W14" s="132"/>
      <c r="X14" s="94"/>
      <c r="Y14" s="252" t="s">
        <v>11</v>
      </c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3"/>
    </row>
    <row r="15" spans="1:42" s="10" customFormat="1" ht="18.75" customHeight="1">
      <c r="A15" s="126"/>
      <c r="B15" s="127"/>
      <c r="C15" s="127"/>
      <c r="D15" s="128"/>
      <c r="E15" s="173" t="s">
        <v>57</v>
      </c>
      <c r="F15" s="174"/>
      <c r="G15" s="171"/>
      <c r="H15" s="171"/>
      <c r="I15" s="171"/>
      <c r="J15" s="172"/>
      <c r="K15" s="97"/>
      <c r="L15" s="98"/>
      <c r="M15" s="98"/>
      <c r="N15" s="99"/>
      <c r="O15" s="97"/>
      <c r="P15" s="99"/>
      <c r="Q15" s="133"/>
      <c r="R15" s="6"/>
      <c r="S15" s="133"/>
      <c r="T15" s="131"/>
      <c r="U15" s="133"/>
      <c r="V15" s="131"/>
      <c r="W15" s="133"/>
      <c r="X15" s="131"/>
      <c r="Y15" s="253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5"/>
    </row>
    <row r="16" spans="1:42" s="10" customFormat="1" ht="20.25" customHeight="1">
      <c r="A16" s="147" t="s">
        <v>1</v>
      </c>
      <c r="B16" s="148"/>
      <c r="C16" s="149" t="str">
        <f>G3</f>
        <v>主任</v>
      </c>
      <c r="D16" s="150"/>
      <c r="E16" s="150"/>
      <c r="F16" s="150"/>
      <c r="G16" s="150"/>
      <c r="H16" s="252" t="s">
        <v>12</v>
      </c>
      <c r="I16" s="148"/>
      <c r="J16" s="153" t="str">
        <f>I3</f>
        <v>吳雅靜</v>
      </c>
      <c r="K16" s="154"/>
      <c r="L16" s="154"/>
      <c r="M16" s="154"/>
      <c r="N16" s="154"/>
      <c r="O16" s="155"/>
      <c r="P16" s="155"/>
      <c r="Q16" s="179" t="s">
        <v>127</v>
      </c>
      <c r="R16" s="182"/>
      <c r="S16" s="182"/>
      <c r="T16" s="182"/>
      <c r="U16" s="182"/>
      <c r="V16" s="278" t="s">
        <v>27</v>
      </c>
      <c r="W16" s="279"/>
      <c r="X16" s="4"/>
      <c r="Y16" s="277" t="str">
        <f>H4&amp;J4&amp;K4&amp;O4&amp;Q4&amp;S4</f>
        <v>106年4月5日</v>
      </c>
      <c r="Z16" s="277"/>
      <c r="AA16" s="277"/>
      <c r="AB16" s="277"/>
      <c r="AC16" s="277"/>
      <c r="AD16" s="277"/>
      <c r="AE16" s="277"/>
      <c r="AF16" s="286" t="str">
        <f>Z4</f>
        <v>11時40分</v>
      </c>
      <c r="AG16" s="286"/>
      <c r="AH16" s="286"/>
      <c r="AI16" s="25" t="s">
        <v>71</v>
      </c>
      <c r="AJ16" s="159" t="str">
        <f>"共 "&amp;AL4&amp;" 日"</f>
        <v>共 0.5 日</v>
      </c>
      <c r="AK16" s="160"/>
      <c r="AL16" s="160"/>
      <c r="AM16" s="161"/>
    </row>
    <row r="17" spans="1:41" s="10" customFormat="1" ht="20.25" customHeight="1">
      <c r="A17" s="91"/>
      <c r="B17" s="93"/>
      <c r="C17" s="151"/>
      <c r="D17" s="152"/>
      <c r="E17" s="152"/>
      <c r="F17" s="152"/>
      <c r="G17" s="152"/>
      <c r="H17" s="253"/>
      <c r="I17" s="254"/>
      <c r="J17" s="156"/>
      <c r="K17" s="155"/>
      <c r="L17" s="155"/>
      <c r="M17" s="155"/>
      <c r="N17" s="155"/>
      <c r="O17" s="155"/>
      <c r="P17" s="155"/>
      <c r="Q17" s="116" t="s">
        <v>13</v>
      </c>
      <c r="R17" s="117"/>
      <c r="S17" s="117"/>
      <c r="T17" s="117"/>
      <c r="U17" s="117"/>
      <c r="V17" s="270" t="s">
        <v>28</v>
      </c>
      <c r="W17" s="271"/>
      <c r="X17" s="13"/>
      <c r="Y17" s="257" t="str">
        <f>H5&amp;J5&amp;K5&amp;O5&amp;Q5&amp;S5</f>
        <v>106年4月5日</v>
      </c>
      <c r="Z17" s="257"/>
      <c r="AA17" s="257"/>
      <c r="AB17" s="257"/>
      <c r="AC17" s="257"/>
      <c r="AD17" s="257"/>
      <c r="AE17" s="257"/>
      <c r="AF17" s="276" t="str">
        <f>Z5</f>
        <v>15時40分</v>
      </c>
      <c r="AG17" s="276"/>
      <c r="AH17" s="276"/>
      <c r="AI17" s="26" t="s">
        <v>72</v>
      </c>
      <c r="AJ17" s="162"/>
      <c r="AK17" s="163"/>
      <c r="AL17" s="163"/>
      <c r="AM17" s="164"/>
    </row>
    <row r="18" spans="1:41" s="10" customFormat="1" ht="45.75" customHeight="1">
      <c r="A18" s="203" t="s">
        <v>131</v>
      </c>
      <c r="B18" s="204"/>
      <c r="C18" s="204"/>
      <c r="D18" s="204"/>
      <c r="E18" s="204"/>
      <c r="F18" s="204"/>
      <c r="G18" s="262"/>
      <c r="H18" s="15" t="s">
        <v>48</v>
      </c>
      <c r="I18" s="157" t="str">
        <f>Q3</f>
        <v>育達高中</v>
      </c>
      <c r="J18" s="157"/>
      <c r="K18" s="157"/>
      <c r="L18" s="176" t="str">
        <f>U3</f>
        <v>公差</v>
      </c>
      <c r="M18" s="176"/>
      <c r="N18" s="176"/>
      <c r="O18" s="176"/>
      <c r="P18" s="176"/>
      <c r="Q18" s="199" t="str">
        <f>Y3</f>
        <v>106年度國民小學及幼兒園教師介聘甄選人事作業說明會</v>
      </c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200"/>
      <c r="AJ18" s="249" t="s">
        <v>67</v>
      </c>
      <c r="AK18" s="280"/>
      <c r="AL18" s="280"/>
      <c r="AM18" s="281"/>
    </row>
    <row r="19" spans="1:41" s="10" customFormat="1" ht="20.100000000000001" customHeight="1">
      <c r="A19" s="187" t="str">
        <f>H4&amp;"年"</f>
        <v>106年</v>
      </c>
      <c r="B19" s="188"/>
      <c r="C19" s="189"/>
      <c r="D19" s="249" t="s">
        <v>14</v>
      </c>
      <c r="E19" s="250"/>
      <c r="F19" s="250"/>
      <c r="G19" s="251"/>
      <c r="H19" s="170" t="s">
        <v>15</v>
      </c>
      <c r="I19" s="171"/>
      <c r="J19" s="171"/>
      <c r="K19" s="171"/>
      <c r="L19" s="172"/>
      <c r="M19" s="14"/>
      <c r="N19" s="64" t="s">
        <v>38</v>
      </c>
      <c r="O19" s="272" t="s">
        <v>70</v>
      </c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 t="s">
        <v>16</v>
      </c>
      <c r="AF19" s="272"/>
      <c r="AG19" s="272"/>
      <c r="AH19" s="272" t="s">
        <v>79</v>
      </c>
      <c r="AI19" s="272"/>
      <c r="AJ19" s="169"/>
      <c r="AK19" s="250" t="s">
        <v>17</v>
      </c>
      <c r="AL19" s="250"/>
      <c r="AM19" s="287"/>
    </row>
    <row r="20" spans="1:41" s="10" customFormat="1" ht="20.100000000000001" customHeight="1">
      <c r="A20" s="3" t="s">
        <v>18</v>
      </c>
      <c r="B20" s="185" t="s">
        <v>19</v>
      </c>
      <c r="C20" s="186"/>
      <c r="D20" s="173"/>
      <c r="E20" s="174"/>
      <c r="F20" s="174"/>
      <c r="G20" s="175"/>
      <c r="H20" s="173"/>
      <c r="I20" s="174"/>
      <c r="J20" s="174"/>
      <c r="K20" s="174"/>
      <c r="L20" s="175"/>
      <c r="M20" s="1"/>
      <c r="N20" s="23" t="s">
        <v>20</v>
      </c>
      <c r="O20" s="169" t="s">
        <v>68</v>
      </c>
      <c r="P20" s="169"/>
      <c r="Q20" s="169"/>
      <c r="R20" s="24" t="s">
        <v>21</v>
      </c>
      <c r="S20" s="169" t="s">
        <v>69</v>
      </c>
      <c r="T20" s="169"/>
      <c r="U20" s="169"/>
      <c r="V20" s="169" t="s">
        <v>22</v>
      </c>
      <c r="W20" s="169"/>
      <c r="X20" s="169"/>
      <c r="Y20" s="169"/>
      <c r="Z20" s="169"/>
      <c r="AA20" s="169" t="s">
        <v>121</v>
      </c>
      <c r="AB20" s="169"/>
      <c r="AC20" s="169"/>
      <c r="AD20" s="169"/>
      <c r="AE20" s="169"/>
      <c r="AF20" s="169"/>
      <c r="AG20" s="169"/>
      <c r="AH20" s="169"/>
      <c r="AI20" s="169"/>
      <c r="AJ20" s="169"/>
      <c r="AK20" s="174"/>
      <c r="AL20" s="174"/>
      <c r="AM20" s="288"/>
    </row>
    <row r="21" spans="1:41" s="10" customFormat="1" ht="24" customHeight="1">
      <c r="A21" s="68">
        <f>K4</f>
        <v>4</v>
      </c>
      <c r="B21" s="177">
        <f>Q4</f>
        <v>5</v>
      </c>
      <c r="C21" s="178"/>
      <c r="D21" s="144" t="str">
        <f>"蘆竹-"&amp;Q3</f>
        <v>蘆竹-育達高中</v>
      </c>
      <c r="E21" s="145"/>
      <c r="F21" s="145"/>
      <c r="G21" s="146"/>
      <c r="H21" s="141" t="s">
        <v>24</v>
      </c>
      <c r="I21" s="142"/>
      <c r="J21" s="142"/>
      <c r="K21" s="142"/>
      <c r="L21" s="143"/>
      <c r="M21" s="27"/>
      <c r="N21" s="21"/>
      <c r="O21" s="158"/>
      <c r="P21" s="158"/>
      <c r="Q21" s="158"/>
      <c r="R21" s="56"/>
      <c r="S21" s="158"/>
      <c r="T21" s="158"/>
      <c r="U21" s="158"/>
      <c r="V21" s="158"/>
      <c r="W21" s="158"/>
      <c r="X21" s="158"/>
      <c r="Y21" s="158"/>
      <c r="Z21" s="158"/>
      <c r="AA21" s="158">
        <v>166</v>
      </c>
      <c r="AB21" s="158"/>
      <c r="AC21" s="158"/>
      <c r="AD21" s="158"/>
      <c r="AE21" s="158"/>
      <c r="AF21" s="158"/>
      <c r="AG21" s="158"/>
      <c r="AH21" s="269">
        <v>100</v>
      </c>
      <c r="AI21" s="269"/>
      <c r="AJ21" s="269"/>
      <c r="AK21" s="267">
        <f>IF(OR(SUM(O21:AJ21)=0,OR(A21="",B21="")),"",IF($U$3="公假",SUM(O21:AG21),SUM(O21:AJ21)))</f>
        <v>266</v>
      </c>
      <c r="AL21" s="267"/>
      <c r="AM21" s="268"/>
    </row>
    <row r="22" spans="1:41" s="10" customFormat="1" ht="24" customHeight="1">
      <c r="A22" s="68" t="str">
        <f>IF(OR(AL4=1.5,AL4&gt;1.5),MONTH(DATEVALUE(H4+1911&amp;J4&amp;K4&amp;O4&amp;Q4&amp;S4)+1),"")</f>
        <v/>
      </c>
      <c r="B22" s="177" t="str">
        <f>IF(OR(AL4=1.5,AL4&gt;1.5),DAY(DATEVALUE(H4+1911&amp;J4&amp;K4&amp;O4&amp;Q4&amp;S4)+1),"")</f>
        <v/>
      </c>
      <c r="C22" s="178"/>
      <c r="D22" s="144" t="str">
        <f>IF(OR(AL4=1.5,AL4&gt;1.5),$D$21,"")</f>
        <v/>
      </c>
      <c r="E22" s="145"/>
      <c r="F22" s="145"/>
      <c r="G22" s="146"/>
      <c r="H22" s="141" t="str">
        <f>IF(OR(AL4=1,AL4&lt;1),"&lt;以下空白&gt;",IF(AL4&gt;1,$H$21,""))</f>
        <v>&lt;以下空白&gt;</v>
      </c>
      <c r="I22" s="142"/>
      <c r="J22" s="142"/>
      <c r="K22" s="142"/>
      <c r="L22" s="143"/>
      <c r="M22" s="27"/>
      <c r="N22" s="21"/>
      <c r="O22" s="158">
        <v>58</v>
      </c>
      <c r="P22" s="158"/>
      <c r="Q22" s="158"/>
      <c r="R22" s="56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290">
        <v>150</v>
      </c>
      <c r="AI22" s="291"/>
      <c r="AJ22" s="292"/>
      <c r="AK22" s="267" t="str">
        <f t="shared" ref="AK22:AK25" si="0">IF(OR(SUM(O22:AJ22)=0,OR(A22="",B22="")),"",IF($U$3="公假",SUM(O22:AG22),SUM(O22:AJ22)))</f>
        <v/>
      </c>
      <c r="AL22" s="267"/>
      <c r="AM22" s="268"/>
    </row>
    <row r="23" spans="1:41" s="10" customFormat="1" ht="24" customHeight="1">
      <c r="A23" s="68" t="str">
        <f>IF(OR(AL4=2.5,AL4&gt;2.5),MONTH(DATEVALUE(H4+1911&amp;J4&amp;K4&amp;O4&amp;Q4&amp;S4)+2),"")</f>
        <v/>
      </c>
      <c r="B23" s="177" t="str">
        <f>IF(OR(AL4=2.5,AL4&gt;2.5),DAY(DATEVALUE(H4+1911&amp;J4&amp;K4&amp;O4&amp;Q4&amp;S4)+2),"")</f>
        <v/>
      </c>
      <c r="C23" s="178"/>
      <c r="D23" s="144" t="str">
        <f>IF(OR(AL4=2.5,AL4&gt;2.5),$D$21,"")</f>
        <v/>
      </c>
      <c r="E23" s="145"/>
      <c r="F23" s="145"/>
      <c r="G23" s="146"/>
      <c r="H23" s="141" t="str">
        <f>IF(AND(AL4&gt;1,OR(AL4=2,AL4&lt;2)),"&lt;以下空白&gt;",IF(AL4&gt;2,$H$21,""))</f>
        <v/>
      </c>
      <c r="I23" s="142"/>
      <c r="J23" s="142"/>
      <c r="K23" s="142"/>
      <c r="L23" s="143"/>
      <c r="M23" s="27"/>
      <c r="N23" s="21"/>
      <c r="O23" s="266">
        <v>58</v>
      </c>
      <c r="P23" s="266"/>
      <c r="Q23" s="266"/>
      <c r="R23" s="56"/>
      <c r="S23" s="158"/>
      <c r="T23" s="158"/>
      <c r="U23" s="158"/>
      <c r="V23" s="158"/>
      <c r="W23" s="158"/>
      <c r="X23" s="158"/>
      <c r="Y23" s="158"/>
      <c r="Z23" s="158"/>
      <c r="AA23" s="266">
        <v>154</v>
      </c>
      <c r="AB23" s="266"/>
      <c r="AC23" s="266"/>
      <c r="AD23" s="266"/>
      <c r="AE23" s="158"/>
      <c r="AF23" s="158"/>
      <c r="AG23" s="158"/>
      <c r="AH23" s="289">
        <v>150</v>
      </c>
      <c r="AI23" s="289"/>
      <c r="AJ23" s="289"/>
      <c r="AK23" s="267" t="str">
        <f t="shared" si="0"/>
        <v/>
      </c>
      <c r="AL23" s="267"/>
      <c r="AM23" s="268"/>
    </row>
    <row r="24" spans="1:41" s="10" customFormat="1" ht="24" customHeight="1">
      <c r="A24" s="68" t="str">
        <f>IF(OR(AL4=3.5,AL4&gt;3.5),MONTH(DATEVALUE(H4+1911&amp;J4&amp;K4&amp;O4&amp;Q4&amp;S4)+3),"")</f>
        <v/>
      </c>
      <c r="B24" s="177" t="str">
        <f>IF(OR(AL4=3.5,AL4&gt;3.5),DAY(DATEVALUE(H4+1911&amp;J4&amp;K4&amp;O4&amp;Q4&amp;S4)+3),"")</f>
        <v/>
      </c>
      <c r="C24" s="178"/>
      <c r="D24" s="144" t="str">
        <f>IF(OR(AL4=3.5,AL4&gt;3.5),$D$21,"")</f>
        <v/>
      </c>
      <c r="E24" s="145"/>
      <c r="F24" s="145"/>
      <c r="G24" s="146"/>
      <c r="H24" s="141" t="str">
        <f>IF(AND(AL4&gt;2,OR(AL4=3,AL4&lt;3)),"&lt;以下空白&gt;",IF(AL4&gt;3,$H$21,""))</f>
        <v/>
      </c>
      <c r="I24" s="142"/>
      <c r="J24" s="142"/>
      <c r="K24" s="142"/>
      <c r="L24" s="143"/>
      <c r="M24" s="27"/>
      <c r="N24" s="21"/>
      <c r="O24" s="266">
        <v>58</v>
      </c>
      <c r="P24" s="266"/>
      <c r="Q24" s="266"/>
      <c r="R24" s="56"/>
      <c r="S24" s="158"/>
      <c r="T24" s="158"/>
      <c r="U24" s="158"/>
      <c r="V24" s="158"/>
      <c r="W24" s="158"/>
      <c r="X24" s="158"/>
      <c r="Y24" s="158"/>
      <c r="Z24" s="158"/>
      <c r="AA24" s="266">
        <v>154</v>
      </c>
      <c r="AB24" s="266"/>
      <c r="AC24" s="266"/>
      <c r="AD24" s="266"/>
      <c r="AE24" s="158"/>
      <c r="AF24" s="158"/>
      <c r="AG24" s="158"/>
      <c r="AH24" s="273">
        <v>150</v>
      </c>
      <c r="AI24" s="274"/>
      <c r="AJ24" s="275"/>
      <c r="AK24" s="267" t="str">
        <f t="shared" si="0"/>
        <v/>
      </c>
      <c r="AL24" s="267"/>
      <c r="AM24" s="268"/>
    </row>
    <row r="25" spans="1:41" s="10" customFormat="1" ht="24" customHeight="1">
      <c r="A25" s="68" t="str">
        <f>IF(OR(AL4=4.5,AL4&gt;4.5),MONTH(DATEVALUE(H4+1911&amp;J4&amp;K4&amp;O4&amp;Q4&amp;S4)+4),"")</f>
        <v/>
      </c>
      <c r="B25" s="177" t="str">
        <f>IF(OR(AL4=4.5,AL4&gt;4.5),DAY(DATEVALUE(H4+1911&amp;J4&amp;K4&amp;O4&amp;Q4&amp;S4)+4),"")</f>
        <v/>
      </c>
      <c r="C25" s="178"/>
      <c r="D25" s="144" t="str">
        <f>IF(OR(AL4=4.5,AL4&gt;4.5),$D$21,"")</f>
        <v/>
      </c>
      <c r="E25" s="145"/>
      <c r="F25" s="145"/>
      <c r="G25" s="146"/>
      <c r="H25" s="141" t="str">
        <f>IF(AND(AL4&gt;3,OR(AL4=4,AL4&lt;4)),"&lt;以下空白&gt;",IF(AL4&gt;4,$H$21,""))</f>
        <v/>
      </c>
      <c r="I25" s="142"/>
      <c r="J25" s="142"/>
      <c r="K25" s="142"/>
      <c r="L25" s="143"/>
      <c r="M25" s="27"/>
      <c r="N25" s="21"/>
      <c r="O25" s="158"/>
      <c r="P25" s="158"/>
      <c r="Q25" s="158"/>
      <c r="R25" s="56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289">
        <v>150</v>
      </c>
      <c r="AI25" s="289"/>
      <c r="AJ25" s="289"/>
      <c r="AK25" s="267" t="str">
        <f t="shared" si="0"/>
        <v/>
      </c>
      <c r="AL25" s="267"/>
      <c r="AM25" s="268"/>
    </row>
    <row r="26" spans="1:41" s="10" customFormat="1" ht="24" customHeight="1">
      <c r="A26" s="203" t="s">
        <v>25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8"/>
      <c r="N26" s="22"/>
      <c r="O26" s="158"/>
      <c r="P26" s="158"/>
      <c r="Q26" s="158"/>
      <c r="R26" s="56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269"/>
      <c r="AI26" s="269"/>
      <c r="AJ26" s="269"/>
      <c r="AK26" s="267">
        <f>SUM(AK21:AM25)</f>
        <v>266</v>
      </c>
      <c r="AL26" s="267"/>
      <c r="AM26" s="268"/>
    </row>
    <row r="27" spans="1:41" s="11" customFormat="1" ht="30" customHeight="1">
      <c r="A27" s="203" t="s">
        <v>26</v>
      </c>
      <c r="B27" s="204"/>
      <c r="C27" s="204"/>
      <c r="D27" s="204"/>
      <c r="E27" s="204"/>
      <c r="F27" s="262"/>
      <c r="G27" s="263" t="s">
        <v>43</v>
      </c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5"/>
      <c r="AO27" s="12"/>
    </row>
    <row r="28" spans="1:41" s="10" customFormat="1" ht="32.25" customHeight="1">
      <c r="A28" s="197" t="str">
        <f>"上列"&amp;W1&amp;"旅費計新台幣"</f>
        <v>上列旅費計新台幣</v>
      </c>
      <c r="B28" s="198"/>
      <c r="C28" s="198"/>
      <c r="D28" s="198"/>
      <c r="E28" s="198"/>
      <c r="F28" s="198"/>
      <c r="G28" s="198"/>
      <c r="H28" s="198"/>
      <c r="I28" s="198"/>
      <c r="J28" s="184">
        <f>AK26</f>
        <v>266</v>
      </c>
      <c r="K28" s="184"/>
      <c r="L28" s="184"/>
      <c r="M28" s="184"/>
      <c r="N28" s="184"/>
      <c r="O28" s="184"/>
      <c r="P28" s="184"/>
      <c r="Q28" s="184"/>
      <c r="R28" s="184"/>
      <c r="S28" s="184"/>
      <c r="T28" s="181" t="s">
        <v>40</v>
      </c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65"/>
      <c r="AJ28" s="165"/>
      <c r="AK28" s="165"/>
      <c r="AL28" s="165"/>
      <c r="AM28" s="166"/>
    </row>
    <row r="29" spans="1:41" s="10" customFormat="1" ht="33" customHeight="1">
      <c r="A29" s="167" t="s">
        <v>129</v>
      </c>
      <c r="B29" s="168"/>
      <c r="C29" s="168"/>
      <c r="D29" s="168"/>
      <c r="E29" s="168"/>
      <c r="F29" s="168"/>
      <c r="G29" s="168"/>
      <c r="H29" s="168" t="s">
        <v>44</v>
      </c>
      <c r="I29" s="168"/>
      <c r="J29" s="168"/>
      <c r="K29" s="168"/>
      <c r="L29" s="168"/>
      <c r="M29" s="168"/>
      <c r="N29" s="168"/>
      <c r="O29" s="168"/>
      <c r="P29" s="168"/>
      <c r="Q29" s="169" t="s">
        <v>45</v>
      </c>
      <c r="R29" s="169"/>
      <c r="S29" s="169"/>
      <c r="T29" s="169"/>
      <c r="U29" s="169"/>
      <c r="V29" s="169"/>
      <c r="W29" s="169"/>
      <c r="X29" s="169"/>
      <c r="Y29" s="169"/>
      <c r="Z29" s="169"/>
      <c r="AA29" s="168" t="s">
        <v>41</v>
      </c>
      <c r="AB29" s="168"/>
      <c r="AC29" s="168"/>
      <c r="AD29" s="168"/>
      <c r="AE29" s="168"/>
      <c r="AF29" s="168"/>
      <c r="AG29" s="168"/>
      <c r="AH29" s="168" t="s">
        <v>42</v>
      </c>
      <c r="AI29" s="179"/>
      <c r="AJ29" s="179"/>
      <c r="AK29" s="179"/>
      <c r="AL29" s="179"/>
      <c r="AM29" s="180"/>
    </row>
    <row r="30" spans="1:41" s="10" customFormat="1" ht="13.5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8"/>
      <c r="AB30" s="168"/>
      <c r="AC30" s="168"/>
      <c r="AD30" s="168"/>
      <c r="AE30" s="168"/>
      <c r="AF30" s="168"/>
      <c r="AG30" s="168"/>
      <c r="AH30" s="168"/>
      <c r="AI30" s="179"/>
      <c r="AJ30" s="179"/>
      <c r="AK30" s="179"/>
      <c r="AL30" s="179"/>
      <c r="AM30" s="180"/>
    </row>
    <row r="31" spans="1:41" s="10" customFormat="1" ht="54" customHeight="1" thickBot="1">
      <c r="A31" s="138"/>
      <c r="B31" s="139"/>
      <c r="C31" s="139"/>
      <c r="D31" s="139"/>
      <c r="E31" s="139"/>
      <c r="F31" s="139"/>
      <c r="G31" s="139"/>
      <c r="H31" s="140"/>
      <c r="I31" s="140"/>
      <c r="J31" s="140"/>
      <c r="K31" s="140"/>
      <c r="L31" s="140"/>
      <c r="M31" s="140"/>
      <c r="N31" s="140"/>
      <c r="O31" s="140"/>
      <c r="P31" s="140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5"/>
      <c r="AI31" s="136"/>
      <c r="AJ31" s="136"/>
      <c r="AK31" s="136"/>
      <c r="AL31" s="136"/>
      <c r="AM31" s="137"/>
    </row>
    <row r="32" spans="1:41" ht="17.25" thickTop="1"/>
  </sheetData>
  <sheetProtection password="CF32" sheet="1" objects="1" scenarios="1"/>
  <protectedRanges>
    <protectedRange sqref="A14:J15" name="範圍5"/>
    <protectedRange sqref="AH1 A3:AM3" name="範圍1"/>
    <protectedRange sqref="H4:H5 K4:K5 Q4:Q5 U4:Y5" name="範圍2"/>
    <protectedRange sqref="O21:AJ25" name="範圍4"/>
    <protectedRange sqref="G27" name="範圍6"/>
  </protectedRanges>
  <mergeCells count="170">
    <mergeCell ref="AK25:AM25"/>
    <mergeCell ref="AH25:AJ25"/>
    <mergeCell ref="AH23:AJ23"/>
    <mergeCell ref="V23:Z23"/>
    <mergeCell ref="AA23:AD23"/>
    <mergeCell ref="AA21:AD21"/>
    <mergeCell ref="AE23:AG23"/>
    <mergeCell ref="AK21:AM21"/>
    <mergeCell ref="V22:Z22"/>
    <mergeCell ref="AA22:AD22"/>
    <mergeCell ref="AK22:AM22"/>
    <mergeCell ref="AH22:AJ22"/>
    <mergeCell ref="AE21:AG21"/>
    <mergeCell ref="AH21:AJ21"/>
    <mergeCell ref="V17:W17"/>
    <mergeCell ref="E15:J15"/>
    <mergeCell ref="S20:U20"/>
    <mergeCell ref="V20:Z20"/>
    <mergeCell ref="AA20:AD20"/>
    <mergeCell ref="O19:AD19"/>
    <mergeCell ref="AH24:AJ24"/>
    <mergeCell ref="AF17:AH17"/>
    <mergeCell ref="Y16:AE16"/>
    <mergeCell ref="V16:W16"/>
    <mergeCell ref="S22:U22"/>
    <mergeCell ref="S21:U21"/>
    <mergeCell ref="AE22:AG22"/>
    <mergeCell ref="O20:Q20"/>
    <mergeCell ref="D19:G20"/>
    <mergeCell ref="H22:L22"/>
    <mergeCell ref="AJ18:AM18"/>
    <mergeCell ref="Y14:AM15"/>
    <mergeCell ref="Q17:U17"/>
    <mergeCell ref="AF16:AH16"/>
    <mergeCell ref="AK24:AM24"/>
    <mergeCell ref="AK19:AM20"/>
    <mergeCell ref="AH19:AJ20"/>
    <mergeCell ref="AE19:AG20"/>
    <mergeCell ref="B22:C22"/>
    <mergeCell ref="D22:G22"/>
    <mergeCell ref="B24:C24"/>
    <mergeCell ref="D24:G24"/>
    <mergeCell ref="A27:F27"/>
    <mergeCell ref="V25:Z25"/>
    <mergeCell ref="AA25:AD25"/>
    <mergeCell ref="AE25:AG25"/>
    <mergeCell ref="AE26:AG26"/>
    <mergeCell ref="O26:Q26"/>
    <mergeCell ref="S26:U26"/>
    <mergeCell ref="V26:Z26"/>
    <mergeCell ref="AA26:AD26"/>
    <mergeCell ref="G27:AM27"/>
    <mergeCell ref="O24:Q24"/>
    <mergeCell ref="S24:U24"/>
    <mergeCell ref="V24:Z24"/>
    <mergeCell ref="AA24:AD24"/>
    <mergeCell ref="O23:Q23"/>
    <mergeCell ref="AK26:AM26"/>
    <mergeCell ref="AK23:AM23"/>
    <mergeCell ref="AH26:AJ26"/>
    <mergeCell ref="AE24:AG24"/>
    <mergeCell ref="H25:L25"/>
    <mergeCell ref="B21:C21"/>
    <mergeCell ref="AM4:AM5"/>
    <mergeCell ref="U2:W2"/>
    <mergeCell ref="Y2:AM2"/>
    <mergeCell ref="A2:F2"/>
    <mergeCell ref="I2:P2"/>
    <mergeCell ref="A8:F8"/>
    <mergeCell ref="G8:K8"/>
    <mergeCell ref="L8:T8"/>
    <mergeCell ref="A6:F7"/>
    <mergeCell ref="G6:K7"/>
    <mergeCell ref="L6:T6"/>
    <mergeCell ref="L7:T7"/>
    <mergeCell ref="A3:F3"/>
    <mergeCell ref="AI6:AM7"/>
    <mergeCell ref="U3:W3"/>
    <mergeCell ref="Y3:AM3"/>
    <mergeCell ref="E14:J14"/>
    <mergeCell ref="H16:I17"/>
    <mergeCell ref="O14:P15"/>
    <mergeCell ref="Y17:AE17"/>
    <mergeCell ref="A4:F4"/>
    <mergeCell ref="A5:F5"/>
    <mergeCell ref="A18:G18"/>
    <mergeCell ref="AH1:AL1"/>
    <mergeCell ref="Q3:T3"/>
    <mergeCell ref="Z5:AE5"/>
    <mergeCell ref="U4:Y5"/>
    <mergeCell ref="AK4:AK5"/>
    <mergeCell ref="AG4:AJ5"/>
    <mergeCell ref="Z4:AE4"/>
    <mergeCell ref="G3:H3"/>
    <mergeCell ref="I3:P3"/>
    <mergeCell ref="H5:I5"/>
    <mergeCell ref="Q4:R4"/>
    <mergeCell ref="S4:T4"/>
    <mergeCell ref="S5:T5"/>
    <mergeCell ref="Q2:T2"/>
    <mergeCell ref="Q5:R5"/>
    <mergeCell ref="AL4:AL5"/>
    <mergeCell ref="G2:H2"/>
    <mergeCell ref="K4:L4"/>
    <mergeCell ref="O4:P4"/>
    <mergeCell ref="K5:L5"/>
    <mergeCell ref="O5:P5"/>
    <mergeCell ref="H4:I4"/>
    <mergeCell ref="AA29:AG30"/>
    <mergeCell ref="Q16:U16"/>
    <mergeCell ref="V13:X13"/>
    <mergeCell ref="O21:Q21"/>
    <mergeCell ref="J28:S28"/>
    <mergeCell ref="H24:L24"/>
    <mergeCell ref="B20:C20"/>
    <mergeCell ref="A19:C19"/>
    <mergeCell ref="T14:U15"/>
    <mergeCell ref="E12:J13"/>
    <mergeCell ref="Q14:Q15"/>
    <mergeCell ref="K13:N13"/>
    <mergeCell ref="S14:S15"/>
    <mergeCell ref="V21:Z21"/>
    <mergeCell ref="K12:X12"/>
    <mergeCell ref="A28:I28"/>
    <mergeCell ref="O25:Q25"/>
    <mergeCell ref="B25:C25"/>
    <mergeCell ref="D25:G25"/>
    <mergeCell ref="Q18:AI18"/>
    <mergeCell ref="Y12:AM13"/>
    <mergeCell ref="S25:U25"/>
    <mergeCell ref="A26:L26"/>
    <mergeCell ref="D23:G23"/>
    <mergeCell ref="AA31:AG31"/>
    <mergeCell ref="AH31:AM31"/>
    <mergeCell ref="A31:G31"/>
    <mergeCell ref="H31:P31"/>
    <mergeCell ref="Q31:Z31"/>
    <mergeCell ref="H21:L21"/>
    <mergeCell ref="H23:L23"/>
    <mergeCell ref="D21:G21"/>
    <mergeCell ref="A16:B17"/>
    <mergeCell ref="C16:G17"/>
    <mergeCell ref="J16:P17"/>
    <mergeCell ref="I18:K18"/>
    <mergeCell ref="O22:Q22"/>
    <mergeCell ref="AJ16:AM17"/>
    <mergeCell ref="AI28:AM28"/>
    <mergeCell ref="S23:U23"/>
    <mergeCell ref="A29:G30"/>
    <mergeCell ref="H29:P30"/>
    <mergeCell ref="Q29:Z30"/>
    <mergeCell ref="H19:L20"/>
    <mergeCell ref="L18:P18"/>
    <mergeCell ref="B23:C23"/>
    <mergeCell ref="AH29:AM30"/>
    <mergeCell ref="T28:AH28"/>
    <mergeCell ref="A12:D13"/>
    <mergeCell ref="K14:N15"/>
    <mergeCell ref="O13:P13"/>
    <mergeCell ref="U8:AB8"/>
    <mergeCell ref="AC8:AH8"/>
    <mergeCell ref="AI8:AM8"/>
    <mergeCell ref="AC6:AH7"/>
    <mergeCell ref="U6:AB7"/>
    <mergeCell ref="A9:AM9"/>
    <mergeCell ref="A11:AM11"/>
    <mergeCell ref="A14:D15"/>
    <mergeCell ref="T13:U13"/>
    <mergeCell ref="X14:X15"/>
    <mergeCell ref="V14:W15"/>
  </mergeCells>
  <phoneticPr fontId="8" type="noConversion"/>
  <conditionalFormatting sqref="AK22:AM22">
    <cfRule type="expression" dxfId="58" priority="61" stopIfTrue="1">
      <formula>IF(OR(LEN($A22)=0,LEN($B22)=0),TRUE,FALSE)</formula>
    </cfRule>
    <cfRule type="expression" dxfId="57" priority="62" stopIfTrue="1">
      <formula>IF(AND(LEN($A22)&gt;0,LEN($B22)&gt;0),TRUE,FALSE)</formula>
    </cfRule>
  </conditionalFormatting>
  <conditionalFormatting sqref="A24:AG24">
    <cfRule type="expression" dxfId="56" priority="57">
      <formula>IF(OR(LEN($A24)=0,LEN($B24)=0),TRUE,FALSE)</formula>
    </cfRule>
    <cfRule type="expression" dxfId="55" priority="58">
      <formula>IF(AND(LEN($A24)&gt;0,LEN($B24)&gt;0),TRUE,FALSE)</formula>
    </cfRule>
  </conditionalFormatting>
  <conditionalFormatting sqref="A25:AG25">
    <cfRule type="expression" dxfId="54" priority="29">
      <formula>IF(OR(LEN($A25)=0,LEN($B25)=0),TRUE,FALSE)</formula>
    </cfRule>
    <cfRule type="expression" dxfId="53" priority="30">
      <formula>IF(AND(LEN($A25)&gt;0,LEN($B25)&gt;0),TRUE,FALSE)</formula>
    </cfRule>
  </conditionalFormatting>
  <conditionalFormatting sqref="A23:AG23">
    <cfRule type="expression" dxfId="52" priority="23">
      <formula>IF(OR(LEN($A23)=0,LEN($B23)=0),TRUE,FALSE)</formula>
    </cfRule>
    <cfRule type="expression" dxfId="51" priority="24">
      <formula>IF(AND(LEN($A23)&gt;0,LEN($B23)&gt;0),TRUE,FALSE)</formula>
    </cfRule>
  </conditionalFormatting>
  <conditionalFormatting sqref="A22:AG22 O24:Q24 AA24:AD24">
    <cfRule type="expression" dxfId="50" priority="21">
      <formula>IF(OR(LEN($A22)=0,LEN($B22)=0),TRUE,FALSE)</formula>
    </cfRule>
    <cfRule type="expression" dxfId="49" priority="22">
      <formula>IF(AND(LEN($A22)&gt;0,LEN($B22)&gt;0),TRUE,FALSE)</formula>
    </cfRule>
  </conditionalFormatting>
  <conditionalFormatting sqref="A21:AG21 O23:Q23 AA23:AD23">
    <cfRule type="expression" dxfId="48" priority="17">
      <formula>IF(OR(LEN($A21)=0,LEN($B21)=0),TRUE,FALSE)</formula>
    </cfRule>
    <cfRule type="expression" dxfId="47" priority="18">
      <formula>IF(AND(LEN($A21)&gt;0,LEN($B21)&gt;0),TRUE,FALSE)</formula>
    </cfRule>
  </conditionalFormatting>
  <conditionalFormatting sqref="AH22:AJ22 AH24:AJ24">
    <cfRule type="expression" dxfId="46" priority="13" stopIfTrue="1">
      <formula>IF(OR(LEN($A22)=0,LEN($B22)=0,$U$3="公假"),TRUE,FALSE)</formula>
    </cfRule>
    <cfRule type="expression" dxfId="45" priority="14" stopIfTrue="1">
      <formula>IF(AND(LEN($A22)&gt;0,LEN($B22)&gt;0,$U$3="公差"),TRUE,FALSE)</formula>
    </cfRule>
  </conditionalFormatting>
  <conditionalFormatting sqref="AH21:AJ21 AH23:AJ23 AH25:AJ25">
    <cfRule type="expression" dxfId="44" priority="7" stopIfTrue="1">
      <formula>IF(OR(LEN($A21)=0,LEN($B21)=0,$U$3="公假"),TRUE,FALSE)</formula>
    </cfRule>
    <cfRule type="expression" dxfId="43" priority="8" stopIfTrue="1">
      <formula>IF(AND(LEN($A21)&gt;0,LEN($B21)&gt;0,$U$3="公差"),TRUE,FALSE)</formula>
    </cfRule>
  </conditionalFormatting>
  <conditionalFormatting sqref="AH23:AJ23 AH25:AJ25">
    <cfRule type="expression" dxfId="42" priority="5" stopIfTrue="1">
      <formula>IF(OR(LEN($A23)=0,LEN($B23)=0,$U$3="公假"),TRUE,FALSE)</formula>
    </cfRule>
    <cfRule type="expression" dxfId="41" priority="6" stopIfTrue="1">
      <formula>IF(AND(LEN($A23)&gt;0,LEN($B23)&gt;0,$U$3="公差"),TRUE,FALSE)</formula>
    </cfRule>
  </conditionalFormatting>
  <conditionalFormatting sqref="AH24:AJ24">
    <cfRule type="expression" dxfId="40" priority="3" stopIfTrue="1">
      <formula>IF(OR(LEN($A24)=0,LEN($B24)=0,$U$3="公假"),TRUE,FALSE)</formula>
    </cfRule>
    <cfRule type="expression" dxfId="39" priority="4" stopIfTrue="1">
      <formula>IF(AND(LEN($A24)&gt;0,LEN($B24)&gt;0,$U$3="公差"),TRUE,FALSE)</formula>
    </cfRule>
  </conditionalFormatting>
  <conditionalFormatting sqref="AH25:AJ25">
    <cfRule type="expression" dxfId="38" priority="1" stopIfTrue="1">
      <formula>IF(OR(LEN($A25)=0,LEN($B25)=0,$U$3="公假"),TRUE,FALSE)</formula>
    </cfRule>
    <cfRule type="expression" dxfId="37" priority="2" stopIfTrue="1">
      <formula>IF(AND(LEN($A25)&gt;0,LEN($B25)&gt;0,$U$3="公差"),TRUE,FALSE)</formula>
    </cfRule>
  </conditionalFormatting>
  <dataValidations xWindow="433" yWindow="302" count="7">
    <dataValidation type="custom" operator="greaterThanOrEqual" allowBlank="1" showInputMessage="1" showErrorMessage="1" errorTitle="輸入日期錯誤!!" error="您所輸日的&quot;迄止日期&quot;小於&quot;起始日期&quot;了!!" sqref="Q5:R5">
      <formula1>IF(OR(DATEVALUE(H5+1911&amp;J5&amp;K5&amp;O5&amp;Q5&amp;S5)-DATEVALUE(H4+1911&amp;J4&amp;K4&amp;O4&amp;Q4&amp;S4)&gt;0,DATEVALUE(H5+1911&amp;J5&amp;K5&amp;O5&amp;Q5&amp;S5)-DATEVALUE(H4+1911&amp;J4&amp;K4&amp;O4&amp;Q4&amp;S4)=0),TRUE,FALSE)</formula1>
    </dataValidation>
    <dataValidation type="list" allowBlank="1" showErrorMessage="1" promptTitle="請注意!!" prompt="出差一日(含)以上請選擇--&quot;全日&quot;." sqref="U4">
      <formula1>"全日,上午,下午"</formula1>
    </dataValidation>
    <dataValidation type="custom" errorStyle="information" allowBlank="1" showInputMessage="1" showErrorMessage="1" errorTitle="輸入日期錯誤提醒!!" error="您所輸入的&quot;迄止日期&quot;小於&quot;起始日期&quot;喔!!" sqref="K5:L5">
      <formula1>IF(OR(DATEVALUE(H5+1911&amp;J5&amp;K5&amp;O5&amp;Q5&amp;S5)-DATEVALUE(H4+1911&amp;J4&amp;K4&amp;O4&amp;Q4&amp;S4)&gt;0,DATEVALUE(H5+1911&amp;J5&amp;K5&amp;O5&amp;Q5&amp;S5)-DATEVALUE(H4+1911&amp;J4&amp;K4&amp;O4&amp;Q4&amp;S4)=0),TRUE,FALSE)</formula1>
    </dataValidation>
    <dataValidation type="custom" errorStyle="information" allowBlank="1" showInputMessage="1" showErrorMessage="1" errorTitle="輸入日期錯誤提醒!!" error="您所輸入的&quot;迄止日期&quot;小於&quot;起始日期&quot;喔!!" sqref="H5:I5">
      <formula1>IF(OR(DATEVALUE(H5+1911&amp;J5&amp;K5&amp;O5&amp;Q5&amp;S5)-DATEVALUE(H4+1911&amp;J4&amp;K4&amp;O4&amp;Q4&amp;S4)&gt;0,DATEVALUE(H5+1911&amp;J5&amp;K5&amp;O5&amp;Q5&amp;S5)-DATEVALUE(H4+1911&amp;J4&amp;K4&amp;O4&amp;Q4&amp;S4)=0),TRUE,FALSE)</formula1>
    </dataValidation>
    <dataValidation errorStyle="information" allowBlank="1" showInputMessage="1" showErrorMessage="1" errorTitle="輸入日期錯誤提醒!!" error="您所輸入的&quot;起始日期&quot;大於&quot;迄止日期&quot;喔!!" sqref="K4:L4 Q4:R4"/>
    <dataValidation type="list" allowBlank="1" showInputMessage="1" showErrorMessage="1" sqref="U3:W3">
      <formula1>"公差,公假"</formula1>
    </dataValidation>
    <dataValidation type="list" allowBlank="1" showInputMessage="1" showErrorMessage="1" sqref="A3:F3">
      <formula1>"校長室,教務處,學務處,總務處,輔導室,幼兒園,人事室,會計室"</formula1>
    </dataValidation>
  </dataValidations>
  <pageMargins left="7.874015748031496E-2" right="7.874015748031496E-2" top="0.31496062992125984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5"/>
  </sheetPr>
  <dimension ref="A1:AO33"/>
  <sheetViews>
    <sheetView zoomScale="110" zoomScaleNormal="110" zoomScaleSheetLayoutView="100" workbookViewId="0">
      <selection activeCell="A3" sqref="A3:G3"/>
    </sheetView>
  </sheetViews>
  <sheetFormatPr defaultRowHeight="16.5"/>
  <cols>
    <col min="1" max="1" width="3.875" style="9" customWidth="1"/>
    <col min="2" max="2" width="2.625" style="9" customWidth="1"/>
    <col min="3" max="3" width="1.375" style="9" customWidth="1"/>
    <col min="4" max="4" width="5.125" style="9" customWidth="1"/>
    <col min="5" max="5" width="2.625" style="9" customWidth="1"/>
    <col min="6" max="6" width="1.125" style="9" customWidth="1"/>
    <col min="7" max="7" width="2" style="9" customWidth="1"/>
    <col min="8" max="8" width="3.625" style="9" customWidth="1"/>
    <col min="9" max="9" width="4.25" style="9" customWidth="1"/>
    <col min="10" max="10" width="3.25" style="9" customWidth="1"/>
    <col min="11" max="11" width="3.625" style="9" customWidth="1"/>
    <col min="12" max="12" width="2.5" style="9" customWidth="1"/>
    <col min="13" max="13" width="1.375" style="9" customWidth="1"/>
    <col min="14" max="14" width="0.5" style="9" hidden="1" customWidth="1"/>
    <col min="15" max="15" width="0.375" style="9" hidden="1" customWidth="1"/>
    <col min="16" max="16" width="2.75" style="9" customWidth="1"/>
    <col min="17" max="17" width="1.125" style="9" customWidth="1"/>
    <col min="18" max="18" width="3.75" style="9" customWidth="1"/>
    <col min="19" max="19" width="2.625" style="9" hidden="1" customWidth="1"/>
    <col min="20" max="20" width="3.75" style="9" customWidth="1"/>
    <col min="21" max="21" width="3" style="9" customWidth="1"/>
    <col min="22" max="22" width="1" style="9" customWidth="1"/>
    <col min="23" max="23" width="2.375" style="9" customWidth="1"/>
    <col min="24" max="24" width="1.5" style="9" customWidth="1"/>
    <col min="25" max="25" width="0.5" style="9" hidden="1" customWidth="1"/>
    <col min="26" max="26" width="3.25" style="9" customWidth="1"/>
    <col min="27" max="27" width="2.625" style="9" customWidth="1"/>
    <col min="28" max="28" width="1.75" style="9" customWidth="1"/>
    <col min="29" max="29" width="3.5" style="9" customWidth="1"/>
    <col min="30" max="30" width="2.625" style="9" customWidth="1"/>
    <col min="31" max="31" width="1.125" style="9" customWidth="1"/>
    <col min="32" max="32" width="2.625" style="9" customWidth="1"/>
    <col min="33" max="33" width="5.875" style="9" customWidth="1"/>
    <col min="34" max="34" width="3.625" style="9" customWidth="1"/>
    <col min="35" max="35" width="5.5" style="9" customWidth="1"/>
    <col min="36" max="36" width="12.375" style="9" customWidth="1"/>
    <col min="37" max="37" width="9" style="9"/>
    <col min="38" max="38" width="14.75" style="9" customWidth="1"/>
    <col min="39" max="39" width="9.375" style="9" customWidth="1"/>
    <col min="40" max="40" width="10.875" style="9" customWidth="1"/>
    <col min="41" max="16384" width="9" style="9"/>
  </cols>
  <sheetData>
    <row r="1" spans="1:40" ht="29.25" customHeight="1" thickBot="1">
      <c r="A1" s="293" t="s">
        <v>126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302">
        <f ca="1">TODAY()</f>
        <v>42825</v>
      </c>
      <c r="AH1" s="302"/>
      <c r="AI1" s="302"/>
      <c r="AJ1" s="8" t="s">
        <v>29</v>
      </c>
    </row>
    <row r="2" spans="1:40" ht="27.75" customHeight="1" thickTop="1">
      <c r="A2" s="237" t="s">
        <v>0</v>
      </c>
      <c r="B2" s="235"/>
      <c r="C2" s="235"/>
      <c r="D2" s="235"/>
      <c r="E2" s="235"/>
      <c r="F2" s="235"/>
      <c r="G2" s="231"/>
      <c r="H2" s="230" t="s">
        <v>1</v>
      </c>
      <c r="I2" s="231"/>
      <c r="J2" s="308" t="s">
        <v>2</v>
      </c>
      <c r="K2" s="308"/>
      <c r="L2" s="308"/>
      <c r="M2" s="308"/>
      <c r="N2" s="308"/>
      <c r="O2" s="308"/>
      <c r="P2" s="308"/>
      <c r="Q2" s="343" t="s">
        <v>136</v>
      </c>
      <c r="R2" s="343"/>
      <c r="S2" s="343"/>
      <c r="T2" s="343"/>
      <c r="U2" s="344"/>
      <c r="V2" s="235" t="s">
        <v>55</v>
      </c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6"/>
    </row>
    <row r="3" spans="1:40" ht="42" customHeight="1">
      <c r="A3" s="242" t="s">
        <v>139</v>
      </c>
      <c r="B3" s="208"/>
      <c r="C3" s="208"/>
      <c r="D3" s="208"/>
      <c r="E3" s="208"/>
      <c r="F3" s="208"/>
      <c r="G3" s="223"/>
      <c r="H3" s="207" t="s">
        <v>122</v>
      </c>
      <c r="I3" s="223"/>
      <c r="J3" s="309" t="s">
        <v>123</v>
      </c>
      <c r="K3" s="309"/>
      <c r="L3" s="309"/>
      <c r="M3" s="309"/>
      <c r="N3" s="309"/>
      <c r="O3" s="309"/>
      <c r="P3" s="309"/>
      <c r="Q3" s="345">
        <f>IF(AND(LEN($A6)&gt;0,LEN($B6)&gt;0,E6&lt;&gt;""),E6,E6=0)+IF(AND(LEN($A7)&gt;0,LEN($B7)&gt;0,E7&lt;&gt;""),E7,E7=0)+IF(AND(LEN($A8)&gt;0,LEN($B8)&gt;0,E8&lt;&gt;""),E8,E8=0)</f>
        <v>1.5</v>
      </c>
      <c r="R3" s="345"/>
      <c r="S3" s="345"/>
      <c r="T3" s="345"/>
      <c r="U3" s="346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8"/>
    </row>
    <row r="4" spans="1:40" s="10" customFormat="1" ht="21.95" customHeight="1">
      <c r="A4" s="391" t="str">
        <f ca="1">YEAR(TODAY())-1911&amp;"年"</f>
        <v>106年</v>
      </c>
      <c r="B4" s="392"/>
      <c r="C4" s="392"/>
      <c r="D4" s="386" t="s">
        <v>49</v>
      </c>
      <c r="E4" s="349" t="s">
        <v>130</v>
      </c>
      <c r="F4" s="349"/>
      <c r="G4" s="349"/>
      <c r="H4" s="349" t="s">
        <v>62</v>
      </c>
      <c r="I4" s="349"/>
      <c r="J4" s="349"/>
      <c r="K4" s="349" t="s">
        <v>75</v>
      </c>
      <c r="L4" s="349"/>
      <c r="M4" s="349"/>
      <c r="N4" s="349"/>
      <c r="O4" s="349"/>
      <c r="P4" s="349"/>
      <c r="Q4" s="349" t="str">
        <f>V1&amp;"地點"</f>
        <v>地點</v>
      </c>
      <c r="R4" s="349"/>
      <c r="S4" s="349"/>
      <c r="T4" s="349"/>
      <c r="U4" s="349"/>
      <c r="V4" s="350" t="s">
        <v>125</v>
      </c>
      <c r="W4" s="351"/>
      <c r="X4" s="352"/>
      <c r="Y4" s="74"/>
      <c r="Z4" s="351" t="s">
        <v>138</v>
      </c>
      <c r="AA4" s="351"/>
      <c r="AB4" s="351"/>
      <c r="AC4" s="351"/>
      <c r="AD4" s="351"/>
      <c r="AE4" s="351"/>
      <c r="AF4" s="351"/>
      <c r="AG4" s="351"/>
      <c r="AH4" s="351"/>
      <c r="AI4" s="351"/>
      <c r="AJ4" s="356"/>
      <c r="AK4" s="30"/>
      <c r="AL4" s="77"/>
      <c r="AN4" s="16"/>
    </row>
    <row r="5" spans="1:40" s="10" customFormat="1" ht="21.95" customHeight="1">
      <c r="A5" s="57" t="s">
        <v>18</v>
      </c>
      <c r="B5" s="393" t="s">
        <v>19</v>
      </c>
      <c r="C5" s="394"/>
      <c r="D5" s="387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53"/>
      <c r="W5" s="354"/>
      <c r="X5" s="355"/>
      <c r="Y5" s="75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7"/>
      <c r="AL5" s="77"/>
    </row>
    <row r="6" spans="1:40" s="10" customFormat="1" ht="26.1" customHeight="1">
      <c r="A6" s="58">
        <v>2</v>
      </c>
      <c r="B6" s="305">
        <v>10</v>
      </c>
      <c r="C6" s="306"/>
      <c r="D6" s="59" t="s">
        <v>184</v>
      </c>
      <c r="E6" s="307">
        <f>IF(D6="全日",1,IF(OR(D6="上午",D6="下午"),0.5,""))</f>
        <v>0.5</v>
      </c>
      <c r="F6" s="307"/>
      <c r="G6" s="307"/>
      <c r="H6" s="373" t="str">
        <f>IF(D6="下午","11時40分",IF(OR(D6="上午",D6="全日"),"07時40分",""))</f>
        <v>11時40分</v>
      </c>
      <c r="I6" s="373"/>
      <c r="J6" s="373"/>
      <c r="K6" s="369" t="str">
        <f>IF(D6="上午","12時40分",IF(OR(D6="下午",D6="全日"),"15時40分",""))</f>
        <v>15時40分</v>
      </c>
      <c r="L6" s="369"/>
      <c r="M6" s="369"/>
      <c r="N6" s="369"/>
      <c r="O6" s="369"/>
      <c r="P6" s="369"/>
      <c r="Q6" s="370" t="s">
        <v>185</v>
      </c>
      <c r="R6" s="371"/>
      <c r="S6" s="371"/>
      <c r="T6" s="371"/>
      <c r="U6" s="372"/>
      <c r="V6" s="294" t="s">
        <v>92</v>
      </c>
      <c r="W6" s="295"/>
      <c r="X6" s="296"/>
      <c r="Y6" s="73"/>
      <c r="Z6" s="297" t="s">
        <v>186</v>
      </c>
      <c r="AA6" s="297"/>
      <c r="AB6" s="297"/>
      <c r="AC6" s="297"/>
      <c r="AD6" s="297"/>
      <c r="AE6" s="297"/>
      <c r="AF6" s="297"/>
      <c r="AG6" s="297"/>
      <c r="AH6" s="297"/>
      <c r="AI6" s="297"/>
      <c r="AJ6" s="298"/>
    </row>
    <row r="7" spans="1:40" s="10" customFormat="1" ht="26.1" customHeight="1">
      <c r="A7" s="58">
        <v>2</v>
      </c>
      <c r="B7" s="305">
        <v>18</v>
      </c>
      <c r="C7" s="306"/>
      <c r="D7" s="59" t="s">
        <v>181</v>
      </c>
      <c r="E7" s="307">
        <f>IF(D7="全日",1,IF(OR(D7="上午",D7="下午"),0.5,""))</f>
        <v>0.5</v>
      </c>
      <c r="F7" s="307"/>
      <c r="G7" s="307"/>
      <c r="H7" s="373" t="str">
        <f>IF(D7="下午","11時40分",IF(OR(D7="上午",D7="全日"),"07時40分",""))</f>
        <v>07時40分</v>
      </c>
      <c r="I7" s="373"/>
      <c r="J7" s="373"/>
      <c r="K7" s="369" t="str">
        <f>IF(D7="上午","12時40分",IF(OR(D7="下午",D7="全日"),"15時40分",""))</f>
        <v>12時40分</v>
      </c>
      <c r="L7" s="369"/>
      <c r="M7" s="369"/>
      <c r="N7" s="369"/>
      <c r="O7" s="369"/>
      <c r="P7" s="369"/>
      <c r="Q7" s="370" t="s">
        <v>182</v>
      </c>
      <c r="R7" s="371"/>
      <c r="S7" s="371"/>
      <c r="T7" s="371"/>
      <c r="U7" s="372"/>
      <c r="V7" s="294" t="s">
        <v>85</v>
      </c>
      <c r="W7" s="295"/>
      <c r="X7" s="296"/>
      <c r="Y7" s="73"/>
      <c r="Z7" s="297" t="s">
        <v>183</v>
      </c>
      <c r="AA7" s="297"/>
      <c r="AB7" s="297"/>
      <c r="AC7" s="297"/>
      <c r="AD7" s="297"/>
      <c r="AE7" s="297"/>
      <c r="AF7" s="297"/>
      <c r="AG7" s="297"/>
      <c r="AH7" s="297"/>
      <c r="AI7" s="297"/>
      <c r="AJ7" s="298"/>
    </row>
    <row r="8" spans="1:40" s="10" customFormat="1" ht="26.1" customHeight="1">
      <c r="A8" s="58">
        <v>2</v>
      </c>
      <c r="B8" s="305">
        <v>21</v>
      </c>
      <c r="C8" s="306"/>
      <c r="D8" s="59" t="s">
        <v>181</v>
      </c>
      <c r="E8" s="307">
        <f>IF(D8="全日",1,IF(OR(D8="上午",D8="下午"),0.5,""))</f>
        <v>0.5</v>
      </c>
      <c r="F8" s="307"/>
      <c r="G8" s="307"/>
      <c r="H8" s="373" t="str">
        <f>IF(D8="下午","11時40分",IF(OR(D8="上午",D8="全日"),"07時40分",""))</f>
        <v>07時40分</v>
      </c>
      <c r="I8" s="373"/>
      <c r="J8" s="373"/>
      <c r="K8" s="369" t="str">
        <f>IF(D8="上午","12時40分",IF(OR(D8="下午",D8="全日"),"15時40分",""))</f>
        <v>12時40分</v>
      </c>
      <c r="L8" s="369"/>
      <c r="M8" s="369"/>
      <c r="N8" s="369"/>
      <c r="O8" s="369"/>
      <c r="P8" s="369"/>
      <c r="Q8" s="370" t="s">
        <v>187</v>
      </c>
      <c r="R8" s="371"/>
      <c r="S8" s="371"/>
      <c r="T8" s="371"/>
      <c r="U8" s="372"/>
      <c r="V8" s="294" t="s">
        <v>92</v>
      </c>
      <c r="W8" s="295"/>
      <c r="X8" s="296"/>
      <c r="Y8" s="73"/>
      <c r="Z8" s="297" t="s">
        <v>188</v>
      </c>
      <c r="AA8" s="297"/>
      <c r="AB8" s="297"/>
      <c r="AC8" s="297"/>
      <c r="AD8" s="297"/>
      <c r="AE8" s="297"/>
      <c r="AF8" s="297"/>
      <c r="AG8" s="297"/>
      <c r="AH8" s="297"/>
      <c r="AI8" s="297"/>
      <c r="AJ8" s="298"/>
    </row>
    <row r="9" spans="1:40" s="10" customFormat="1" ht="19.5" customHeight="1">
      <c r="A9" s="310" t="s">
        <v>133</v>
      </c>
      <c r="B9" s="311"/>
      <c r="C9" s="311"/>
      <c r="D9" s="311"/>
      <c r="E9" s="311"/>
      <c r="F9" s="311"/>
      <c r="G9" s="311"/>
      <c r="H9" s="311" t="s">
        <v>51</v>
      </c>
      <c r="I9" s="311"/>
      <c r="J9" s="311"/>
      <c r="K9" s="311"/>
      <c r="L9" s="311"/>
      <c r="M9" s="116" t="s">
        <v>31</v>
      </c>
      <c r="N9" s="117"/>
      <c r="O9" s="117"/>
      <c r="P9" s="117"/>
      <c r="Q9" s="117"/>
      <c r="R9" s="117"/>
      <c r="S9" s="117"/>
      <c r="T9" s="117"/>
      <c r="U9" s="238"/>
      <c r="V9" s="397" t="s">
        <v>52</v>
      </c>
      <c r="W9" s="398"/>
      <c r="X9" s="398"/>
      <c r="Y9" s="398"/>
      <c r="Z9" s="398"/>
      <c r="AA9" s="398"/>
      <c r="AB9" s="398"/>
      <c r="AC9" s="398"/>
      <c r="AD9" s="110" t="s">
        <v>34</v>
      </c>
      <c r="AE9" s="111"/>
      <c r="AF9" s="111"/>
      <c r="AG9" s="111"/>
      <c r="AH9" s="112"/>
      <c r="AI9" s="406" t="s">
        <v>53</v>
      </c>
      <c r="AJ9" s="407"/>
    </row>
    <row r="10" spans="1:40" s="10" customFormat="1" ht="18.75" customHeight="1">
      <c r="A10" s="310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239" t="s">
        <v>50</v>
      </c>
      <c r="N10" s="240"/>
      <c r="O10" s="240"/>
      <c r="P10" s="240"/>
      <c r="Q10" s="240"/>
      <c r="R10" s="240"/>
      <c r="S10" s="240"/>
      <c r="T10" s="240"/>
      <c r="U10" s="241"/>
      <c r="V10" s="399"/>
      <c r="W10" s="400"/>
      <c r="X10" s="400"/>
      <c r="Y10" s="400"/>
      <c r="Z10" s="400"/>
      <c r="AA10" s="400"/>
      <c r="AB10" s="400"/>
      <c r="AC10" s="400"/>
      <c r="AD10" s="113"/>
      <c r="AE10" s="114"/>
      <c r="AF10" s="114"/>
      <c r="AG10" s="114"/>
      <c r="AH10" s="115"/>
      <c r="AI10" s="406"/>
      <c r="AJ10" s="407"/>
    </row>
    <row r="11" spans="1:40" s="10" customFormat="1" ht="44.1" customHeight="1" thickBot="1">
      <c r="A11" s="138"/>
      <c r="B11" s="139"/>
      <c r="C11" s="139"/>
      <c r="D11" s="139"/>
      <c r="E11" s="139"/>
      <c r="F11" s="139"/>
      <c r="G11" s="139"/>
      <c r="H11" s="134"/>
      <c r="I11" s="134"/>
      <c r="J11" s="134"/>
      <c r="K11" s="134"/>
      <c r="L11" s="134"/>
      <c r="M11" s="101" t="s">
        <v>35</v>
      </c>
      <c r="N11" s="102"/>
      <c r="O11" s="102"/>
      <c r="P11" s="102"/>
      <c r="Q11" s="102"/>
      <c r="R11" s="102"/>
      <c r="S11" s="102"/>
      <c r="T11" s="102"/>
      <c r="U11" s="103"/>
      <c r="V11" s="101"/>
      <c r="W11" s="102"/>
      <c r="X11" s="102"/>
      <c r="Y11" s="102"/>
      <c r="Z11" s="102"/>
      <c r="AA11" s="102"/>
      <c r="AB11" s="102"/>
      <c r="AC11" s="103"/>
      <c r="AD11" s="101"/>
      <c r="AE11" s="102"/>
      <c r="AF11" s="102"/>
      <c r="AG11" s="102"/>
      <c r="AH11" s="103"/>
      <c r="AI11" s="402">
        <f>ROUND(IF(E6="",E6=0,E6),0)+ROUND(IF(OR(E7="",A7&amp;B7=A6&amp;B6),E7=0,E7),0)+ROUND(IF(OR(E8="",A8&amp;B8=A6&amp;B6,A8&amp;B8=A7&amp;B7),E8=0,E8),0)</f>
        <v>3</v>
      </c>
      <c r="AJ11" s="403"/>
    </row>
    <row r="12" spans="1:40" s="10" customFormat="1" ht="39.950000000000003" customHeight="1" thickTop="1">
      <c r="A12" s="401" t="s">
        <v>78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</row>
    <row r="13" spans="1:40" s="10" customFormat="1" ht="39.950000000000003" customHeight="1" thickBot="1">
      <c r="A13" s="395" t="str">
        <f>"桃園市蘆竹區大華國民小學公差(假)旅費報告表"</f>
        <v>桃園市蘆竹區大華國民小學公差(假)旅費報告表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</row>
    <row r="14" spans="1:40" s="10" customFormat="1" ht="17.25" thickTop="1">
      <c r="A14" s="404" t="s">
        <v>3</v>
      </c>
      <c r="B14" s="377"/>
      <c r="C14" s="377"/>
      <c r="D14" s="377"/>
      <c r="E14" s="378"/>
      <c r="F14" s="376" t="s">
        <v>4</v>
      </c>
      <c r="G14" s="377"/>
      <c r="H14" s="377"/>
      <c r="I14" s="377"/>
      <c r="J14" s="377"/>
      <c r="K14" s="378"/>
      <c r="L14" s="382" t="s">
        <v>60</v>
      </c>
      <c r="M14" s="383"/>
      <c r="N14" s="383"/>
      <c r="O14" s="383"/>
      <c r="P14" s="384"/>
      <c r="Q14" s="384"/>
      <c r="R14" s="384"/>
      <c r="S14" s="383"/>
      <c r="T14" s="383"/>
      <c r="U14" s="383"/>
      <c r="V14" s="383"/>
      <c r="W14" s="383"/>
      <c r="X14" s="383"/>
      <c r="Y14" s="385"/>
      <c r="Z14" s="376" t="s">
        <v>5</v>
      </c>
      <c r="AA14" s="377"/>
      <c r="AB14" s="377"/>
      <c r="AC14" s="377"/>
      <c r="AD14" s="377"/>
      <c r="AE14" s="377"/>
      <c r="AF14" s="377"/>
      <c r="AG14" s="377"/>
      <c r="AH14" s="377"/>
      <c r="AI14" s="377"/>
      <c r="AJ14" s="408"/>
    </row>
    <row r="15" spans="1:40" s="10" customFormat="1" ht="21.75" customHeight="1">
      <c r="A15" s="405"/>
      <c r="B15" s="380"/>
      <c r="C15" s="380"/>
      <c r="D15" s="380"/>
      <c r="E15" s="381"/>
      <c r="F15" s="379"/>
      <c r="G15" s="380"/>
      <c r="H15" s="380"/>
      <c r="I15" s="380"/>
      <c r="J15" s="380"/>
      <c r="K15" s="381"/>
      <c r="L15" s="129" t="s">
        <v>6</v>
      </c>
      <c r="M15" s="183"/>
      <c r="N15" s="183"/>
      <c r="O15" s="183"/>
      <c r="P15" s="100" t="s">
        <v>7</v>
      </c>
      <c r="Q15" s="100"/>
      <c r="R15" s="7" t="s">
        <v>8</v>
      </c>
      <c r="S15" s="2"/>
      <c r="T15" s="2" t="s">
        <v>37</v>
      </c>
      <c r="U15" s="129" t="s">
        <v>9</v>
      </c>
      <c r="V15" s="130"/>
      <c r="W15" s="129" t="s">
        <v>10</v>
      </c>
      <c r="X15" s="183"/>
      <c r="Y15" s="130"/>
      <c r="Z15" s="379"/>
      <c r="AA15" s="380"/>
      <c r="AB15" s="380"/>
      <c r="AC15" s="380"/>
      <c r="AD15" s="380"/>
      <c r="AE15" s="380"/>
      <c r="AF15" s="380"/>
      <c r="AG15" s="380"/>
      <c r="AH15" s="380"/>
      <c r="AI15" s="380"/>
      <c r="AJ15" s="409"/>
    </row>
    <row r="16" spans="1:40" s="10" customFormat="1" ht="21.95" customHeight="1">
      <c r="A16" s="123"/>
      <c r="B16" s="124"/>
      <c r="C16" s="124"/>
      <c r="D16" s="124"/>
      <c r="E16" s="125"/>
      <c r="F16" s="249" t="s">
        <v>64</v>
      </c>
      <c r="G16" s="250"/>
      <c r="H16" s="250"/>
      <c r="I16" s="250"/>
      <c r="J16" s="250"/>
      <c r="K16" s="251"/>
      <c r="L16" s="94" t="str">
        <f>IF(LEN(AJ27)-5&lt;1,IF(LEN(AJ27)=5,"$",""),MIDB(AJ27,LEN(AJ27)-5,1))</f>
        <v/>
      </c>
      <c r="M16" s="95"/>
      <c r="N16" s="95"/>
      <c r="O16" s="96"/>
      <c r="P16" s="255" t="str">
        <f>IF(LEN(AJ27)-4&lt;1,IF(LEN(AJ27)=4,"$",""),MIDB(AJ27,LEN(AJ27)-4,1))</f>
        <v/>
      </c>
      <c r="Q16" s="256"/>
      <c r="R16" s="192" t="str">
        <f>IF(LEN(AJ27)-3&lt;1,IF(LEN(AJ27)=3,"$",""),MIDB(AJ27,LEN(AJ27)-3,1))</f>
        <v>$</v>
      </c>
      <c r="S16" s="5"/>
      <c r="T16" s="96" t="str">
        <f>IF(LEN(AJ27)-2&lt;1,IF(LEN(AJ27)=2,"$",""),MIDB(AJ27,LEN(AJ27)-2,1))</f>
        <v>5</v>
      </c>
      <c r="U16" s="94" t="str">
        <f>IF(LEN(AJ27)-1&lt;1,IF(LEN(AJ27)=1,"$",""),MIDB(AJ27,LEN(AJ27)-1,1))</f>
        <v>8</v>
      </c>
      <c r="V16" s="132"/>
      <c r="W16" s="94" t="str">
        <f>IF(LEN(AJ27)-0&lt;1,IF(LEN(AJ27)=0,"$",""),MIDB(AJ27,LEN(AJ27)-0,1))</f>
        <v>6</v>
      </c>
      <c r="X16" s="132"/>
      <c r="Y16" s="94"/>
      <c r="Z16" s="358" t="s">
        <v>11</v>
      </c>
      <c r="AA16" s="359"/>
      <c r="AB16" s="359"/>
      <c r="AC16" s="359"/>
      <c r="AD16" s="359"/>
      <c r="AE16" s="359"/>
      <c r="AF16" s="359"/>
      <c r="AG16" s="359"/>
      <c r="AH16" s="359"/>
      <c r="AI16" s="359"/>
      <c r="AJ16" s="365"/>
    </row>
    <row r="17" spans="1:41" s="10" customFormat="1" ht="21.95" customHeight="1">
      <c r="A17" s="126"/>
      <c r="B17" s="127"/>
      <c r="C17" s="127"/>
      <c r="D17" s="127"/>
      <c r="E17" s="128"/>
      <c r="F17" s="173" t="s">
        <v>57</v>
      </c>
      <c r="G17" s="174"/>
      <c r="H17" s="171"/>
      <c r="I17" s="171"/>
      <c r="J17" s="171"/>
      <c r="K17" s="172"/>
      <c r="L17" s="360"/>
      <c r="M17" s="361"/>
      <c r="N17" s="361"/>
      <c r="O17" s="192"/>
      <c r="P17" s="360"/>
      <c r="Q17" s="192"/>
      <c r="R17" s="133"/>
      <c r="S17" s="6"/>
      <c r="T17" s="133"/>
      <c r="U17" s="131"/>
      <c r="V17" s="133"/>
      <c r="W17" s="131"/>
      <c r="X17" s="133"/>
      <c r="Y17" s="131"/>
      <c r="Z17" s="366"/>
      <c r="AA17" s="367"/>
      <c r="AB17" s="367"/>
      <c r="AC17" s="367"/>
      <c r="AD17" s="367"/>
      <c r="AE17" s="367"/>
      <c r="AF17" s="367"/>
      <c r="AG17" s="367"/>
      <c r="AH17" s="367"/>
      <c r="AI17" s="367"/>
      <c r="AJ17" s="368"/>
      <c r="AO17" s="29"/>
    </row>
    <row r="18" spans="1:41" s="10" customFormat="1" ht="39.75" customHeight="1">
      <c r="A18" s="363" t="s">
        <v>63</v>
      </c>
      <c r="B18" s="364"/>
      <c r="C18" s="358" t="str">
        <f>A3</f>
        <v>校長室</v>
      </c>
      <c r="D18" s="359"/>
      <c r="E18" s="359"/>
      <c r="F18" s="359"/>
      <c r="G18" s="359"/>
      <c r="H18" s="324" t="s">
        <v>1</v>
      </c>
      <c r="I18" s="324"/>
      <c r="J18" s="324" t="str">
        <f>H3</f>
        <v>校長</v>
      </c>
      <c r="K18" s="311"/>
      <c r="L18" s="311"/>
      <c r="M18" s="311"/>
      <c r="N18" s="311"/>
      <c r="O18" s="311"/>
      <c r="P18" s="311"/>
      <c r="Q18" s="311"/>
      <c r="R18" s="311" t="s">
        <v>12</v>
      </c>
      <c r="S18" s="311"/>
      <c r="T18" s="311"/>
      <c r="U18" s="311" t="str">
        <f>J3</f>
        <v>黃坤亮</v>
      </c>
      <c r="V18" s="311"/>
      <c r="W18" s="311"/>
      <c r="X18" s="311"/>
      <c r="Y18" s="311"/>
      <c r="Z18" s="311"/>
      <c r="AA18" s="311"/>
      <c r="AB18" s="311"/>
      <c r="AC18" s="410" t="s">
        <v>134</v>
      </c>
      <c r="AD18" s="411"/>
      <c r="AE18" s="411"/>
      <c r="AF18" s="411"/>
      <c r="AG18" s="414">
        <f>Q3</f>
        <v>1.5</v>
      </c>
      <c r="AH18" s="414"/>
      <c r="AI18" s="412" t="s">
        <v>61</v>
      </c>
      <c r="AJ18" s="413"/>
    </row>
    <row r="19" spans="1:41" s="10" customFormat="1" ht="24" customHeight="1">
      <c r="A19" s="147" t="s">
        <v>135</v>
      </c>
      <c r="B19" s="282"/>
      <c r="C19" s="148"/>
      <c r="D19" s="304" t="str">
        <f>IF(A6="","",A6&amp;"/"&amp;B6)</f>
        <v>2/10</v>
      </c>
      <c r="E19" s="304"/>
      <c r="F19" s="388" t="str">
        <f>IF(A6="","",TEXT(H6,"hh:mm")&amp;"~"&amp;TEXT(K6,"hh:mm"))</f>
        <v>11:40~15:40</v>
      </c>
      <c r="G19" s="389"/>
      <c r="H19" s="389"/>
      <c r="I19" s="389"/>
      <c r="J19" s="390"/>
      <c r="K19" s="65" t="str">
        <f>IF(Q6="","","至")</f>
        <v>至</v>
      </c>
      <c r="L19" s="362" t="str">
        <f>IF(Q6="","",Q6)</f>
        <v>市政府</v>
      </c>
      <c r="M19" s="362"/>
      <c r="N19" s="362"/>
      <c r="O19" s="362"/>
      <c r="P19" s="362"/>
      <c r="Q19" s="362"/>
      <c r="R19" s="362"/>
      <c r="S19" s="66"/>
      <c r="T19" s="299" t="str">
        <f>IF(V6="","",V6)</f>
        <v>公差</v>
      </c>
      <c r="U19" s="299"/>
      <c r="V19" s="300" t="str">
        <f>IF(Z6="","",Z6)</f>
        <v>洽辦資優生縮短修業年限事宜</v>
      </c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1"/>
    </row>
    <row r="20" spans="1:41" s="10" customFormat="1" ht="24" customHeight="1">
      <c r="A20" s="303"/>
      <c r="B20" s="284"/>
      <c r="C20" s="254"/>
      <c r="D20" s="304" t="str">
        <f>IF(A7="","",A7&amp;"/"&amp;B7)</f>
        <v>2/18</v>
      </c>
      <c r="E20" s="304"/>
      <c r="F20" s="388" t="str">
        <f>IF(A7="","",TEXT(H7,"hh:mm")&amp;"~"&amp;TEXT(K7,"hh:mm"))</f>
        <v>07:40~12:40</v>
      </c>
      <c r="G20" s="389"/>
      <c r="H20" s="389"/>
      <c r="I20" s="389"/>
      <c r="J20" s="390"/>
      <c r="K20" s="65" t="str">
        <f>IF(Q7="","","至")</f>
        <v>至</v>
      </c>
      <c r="L20" s="362" t="str">
        <f>IF(Q7="","",Q7)</f>
        <v>大園高中</v>
      </c>
      <c r="M20" s="362"/>
      <c r="N20" s="362"/>
      <c r="O20" s="362"/>
      <c r="P20" s="362"/>
      <c r="Q20" s="362"/>
      <c r="R20" s="362"/>
      <c r="S20" s="66"/>
      <c r="T20" s="299" t="str">
        <f t="shared" ref="T20:T21" si="0">IF(V7="","",V7)</f>
        <v>公假</v>
      </c>
      <c r="U20" s="299"/>
      <c r="V20" s="300" t="str">
        <f t="shared" ref="V20:V21" si="1">IF(Z7="","",Z7)</f>
        <v>參加十二年國教特殊教育課綱說明會</v>
      </c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1"/>
    </row>
    <row r="21" spans="1:41" s="10" customFormat="1" ht="24" customHeight="1">
      <c r="A21" s="91"/>
      <c r="B21" s="92"/>
      <c r="C21" s="93"/>
      <c r="D21" s="304" t="str">
        <f>IF(A8="","",A8&amp;"/"&amp;B8)</f>
        <v>2/21</v>
      </c>
      <c r="E21" s="304"/>
      <c r="F21" s="388" t="str">
        <f>IF(A8="","",TEXT(H8,"hh:mm")&amp;"~"&amp;TEXT(K8,"hh:mm"))</f>
        <v>07:40~12:40</v>
      </c>
      <c r="G21" s="389"/>
      <c r="H21" s="389"/>
      <c r="I21" s="389"/>
      <c r="J21" s="390"/>
      <c r="K21" s="65" t="str">
        <f>IF(Q8="","","至")</f>
        <v>至</v>
      </c>
      <c r="L21" s="362" t="str">
        <f>IF(Q8="","",Q8)</f>
        <v>高原國小</v>
      </c>
      <c r="M21" s="362"/>
      <c r="N21" s="362"/>
      <c r="O21" s="362"/>
      <c r="P21" s="362"/>
      <c r="Q21" s="362"/>
      <c r="R21" s="362"/>
      <c r="S21" s="66"/>
      <c r="T21" s="299" t="str">
        <f t="shared" si="0"/>
        <v>公差</v>
      </c>
      <c r="U21" s="299"/>
      <c r="V21" s="300" t="str">
        <f t="shared" si="1"/>
        <v>參加高原國小新建校舍動土典禮</v>
      </c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1"/>
    </row>
    <row r="22" spans="1:41" s="10" customFormat="1" ht="24" customHeight="1">
      <c r="A22" s="187" t="str">
        <f ca="1">YEAR(TODAY())-1911&amp;"年"</f>
        <v>106年</v>
      </c>
      <c r="B22" s="188"/>
      <c r="C22" s="188"/>
      <c r="D22" s="374" t="s">
        <v>49</v>
      </c>
      <c r="E22" s="168" t="str">
        <f>V1&amp;"日數"</f>
        <v>日數</v>
      </c>
      <c r="F22" s="168"/>
      <c r="G22" s="168"/>
      <c r="H22" s="168" t="s">
        <v>14</v>
      </c>
      <c r="I22" s="168"/>
      <c r="J22" s="168"/>
      <c r="K22" s="168" t="s">
        <v>54</v>
      </c>
      <c r="L22" s="168"/>
      <c r="M22" s="168"/>
      <c r="N22" s="168"/>
      <c r="O22" s="168"/>
      <c r="P22" s="168"/>
      <c r="Q22" s="168"/>
      <c r="R22" s="168" t="s">
        <v>56</v>
      </c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319" t="s">
        <v>16</v>
      </c>
      <c r="AG22" s="320"/>
      <c r="AH22" s="319" t="s">
        <v>79</v>
      </c>
      <c r="AI22" s="238"/>
      <c r="AJ22" s="416" t="s">
        <v>17</v>
      </c>
      <c r="AN22" s="16"/>
    </row>
    <row r="23" spans="1:41" s="10" customFormat="1" ht="24" customHeight="1">
      <c r="A23" s="3" t="s">
        <v>18</v>
      </c>
      <c r="B23" s="185" t="s">
        <v>19</v>
      </c>
      <c r="C23" s="280"/>
      <c r="D23" s="375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 t="s">
        <v>20</v>
      </c>
      <c r="S23" s="168"/>
      <c r="T23" s="168"/>
      <c r="U23" s="168" t="s">
        <v>21</v>
      </c>
      <c r="V23" s="168"/>
      <c r="W23" s="168"/>
      <c r="X23" s="168"/>
      <c r="Y23" s="18"/>
      <c r="Z23" s="318" t="s">
        <v>22</v>
      </c>
      <c r="AA23" s="204"/>
      <c r="AB23" s="262"/>
      <c r="AC23" s="318" t="s">
        <v>23</v>
      </c>
      <c r="AD23" s="204"/>
      <c r="AE23" s="262"/>
      <c r="AF23" s="321"/>
      <c r="AG23" s="322"/>
      <c r="AH23" s="321"/>
      <c r="AI23" s="415"/>
      <c r="AJ23" s="417"/>
    </row>
    <row r="24" spans="1:41" s="10" customFormat="1" ht="24" customHeight="1">
      <c r="A24" s="31">
        <f t="shared" ref="A24:B26" si="2">IF(A6="","",A6)</f>
        <v>2</v>
      </c>
      <c r="B24" s="325">
        <f t="shared" si="2"/>
        <v>10</v>
      </c>
      <c r="C24" s="326"/>
      <c r="D24" s="32" t="str">
        <f>IF(D6="","",D6)</f>
        <v>下午</v>
      </c>
      <c r="E24" s="327">
        <f>E6</f>
        <v>0.5</v>
      </c>
      <c r="F24" s="327"/>
      <c r="G24" s="327"/>
      <c r="H24" s="328" t="str">
        <f>IF(Q6="","","蘆竹-"&amp;Q6)</f>
        <v>蘆竹-市政府</v>
      </c>
      <c r="I24" s="329"/>
      <c r="J24" s="330"/>
      <c r="K24" s="331" t="str">
        <f>IF(Z6="","","如差由")</f>
        <v>如差由</v>
      </c>
      <c r="L24" s="331"/>
      <c r="M24" s="331"/>
      <c r="N24" s="331"/>
      <c r="O24" s="331"/>
      <c r="P24" s="331"/>
      <c r="Q24" s="331"/>
      <c r="R24" s="332"/>
      <c r="S24" s="333"/>
      <c r="T24" s="334"/>
      <c r="U24" s="335"/>
      <c r="V24" s="336"/>
      <c r="W24" s="336"/>
      <c r="X24" s="337"/>
      <c r="Y24" s="60"/>
      <c r="Z24" s="338"/>
      <c r="AA24" s="339"/>
      <c r="AB24" s="340"/>
      <c r="AC24" s="313">
        <v>94</v>
      </c>
      <c r="AD24" s="314"/>
      <c r="AE24" s="315"/>
      <c r="AF24" s="316"/>
      <c r="AG24" s="317"/>
      <c r="AH24" s="269">
        <v>100</v>
      </c>
      <c r="AI24" s="269"/>
      <c r="AJ24" s="61">
        <f>IF(OR(SUM(R24:AI24)=0,OR(A24="",B24="")),"",IF(V6="公假",SUM(R24:AG24),SUM(R24:AI24)))</f>
        <v>194</v>
      </c>
    </row>
    <row r="25" spans="1:41" s="10" customFormat="1" ht="24" customHeight="1">
      <c r="A25" s="31">
        <f t="shared" si="2"/>
        <v>2</v>
      </c>
      <c r="B25" s="325">
        <f>IF(B7="","",B7)</f>
        <v>18</v>
      </c>
      <c r="C25" s="326"/>
      <c r="D25" s="32" t="str">
        <f>IF(D7="","",D7)</f>
        <v>上午</v>
      </c>
      <c r="E25" s="327">
        <f>E7</f>
        <v>0.5</v>
      </c>
      <c r="F25" s="327"/>
      <c r="G25" s="327"/>
      <c r="H25" s="328" t="str">
        <f>IF(Q7="","","蘆竹-"&amp;Q7)</f>
        <v>蘆竹-大園高中</v>
      </c>
      <c r="I25" s="329"/>
      <c r="J25" s="330"/>
      <c r="K25" s="331" t="str">
        <f>IF(Z7="","以下空白","如差由")</f>
        <v>如差由</v>
      </c>
      <c r="L25" s="331"/>
      <c r="M25" s="331"/>
      <c r="N25" s="331"/>
      <c r="O25" s="331"/>
      <c r="P25" s="331"/>
      <c r="Q25" s="331"/>
      <c r="R25" s="332"/>
      <c r="S25" s="333"/>
      <c r="T25" s="334"/>
      <c r="U25" s="335"/>
      <c r="V25" s="336"/>
      <c r="W25" s="336"/>
      <c r="X25" s="337"/>
      <c r="Y25" s="76"/>
      <c r="Z25" s="338"/>
      <c r="AA25" s="339"/>
      <c r="AB25" s="340"/>
      <c r="AC25" s="313">
        <v>108</v>
      </c>
      <c r="AD25" s="314"/>
      <c r="AE25" s="315"/>
      <c r="AF25" s="316"/>
      <c r="AG25" s="317"/>
      <c r="AH25" s="269">
        <v>150</v>
      </c>
      <c r="AI25" s="269"/>
      <c r="AJ25" s="61">
        <f t="shared" ref="AJ25:AJ26" si="3">IF(OR(SUM(R25:AI25)=0,OR(A25="",B25="")),"",IF(V7="公假",SUM(R25:AG25),SUM(R25:AI25)))</f>
        <v>108</v>
      </c>
    </row>
    <row r="26" spans="1:41" s="10" customFormat="1" ht="24" customHeight="1">
      <c r="A26" s="31">
        <f t="shared" si="2"/>
        <v>2</v>
      </c>
      <c r="B26" s="325">
        <f>IF(B8="","",B8)</f>
        <v>21</v>
      </c>
      <c r="C26" s="326"/>
      <c r="D26" s="32" t="str">
        <f>IF(D8="","",D8)</f>
        <v>上午</v>
      </c>
      <c r="E26" s="327">
        <f>E8</f>
        <v>0.5</v>
      </c>
      <c r="F26" s="327"/>
      <c r="G26" s="327"/>
      <c r="H26" s="328" t="str">
        <f>IF(Q8="","","蘆竹-"&amp;Q8)</f>
        <v>蘆竹-高原國小</v>
      </c>
      <c r="I26" s="329"/>
      <c r="J26" s="330"/>
      <c r="K26" s="331" t="str">
        <f>IF(AND(Z7="",Z8=""),"",IF(AND(Z7&lt;&gt;"",Z8=""),"以下空白","如差由"))</f>
        <v>如差由</v>
      </c>
      <c r="L26" s="331"/>
      <c r="M26" s="331"/>
      <c r="N26" s="331"/>
      <c r="O26" s="331"/>
      <c r="P26" s="331"/>
      <c r="Q26" s="331"/>
      <c r="R26" s="332"/>
      <c r="S26" s="333"/>
      <c r="T26" s="334"/>
      <c r="U26" s="335"/>
      <c r="V26" s="336"/>
      <c r="W26" s="336"/>
      <c r="X26" s="337"/>
      <c r="Y26" s="76"/>
      <c r="Z26" s="338"/>
      <c r="AA26" s="339"/>
      <c r="AB26" s="340"/>
      <c r="AC26" s="313">
        <v>184</v>
      </c>
      <c r="AD26" s="314"/>
      <c r="AE26" s="315"/>
      <c r="AF26" s="316"/>
      <c r="AG26" s="317"/>
      <c r="AH26" s="269">
        <v>100</v>
      </c>
      <c r="AI26" s="269"/>
      <c r="AJ26" s="61">
        <f t="shared" si="3"/>
        <v>284</v>
      </c>
      <c r="AM26" s="17"/>
    </row>
    <row r="27" spans="1:41" s="10" customFormat="1" ht="24" customHeight="1">
      <c r="A27" s="91" t="s">
        <v>25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342"/>
      <c r="S27" s="342"/>
      <c r="T27" s="342"/>
      <c r="U27" s="342"/>
      <c r="V27" s="342"/>
      <c r="W27" s="342"/>
      <c r="X27" s="342"/>
      <c r="Y27" s="62"/>
      <c r="Z27" s="342"/>
      <c r="AA27" s="342"/>
      <c r="AB27" s="342"/>
      <c r="AC27" s="312"/>
      <c r="AD27" s="312"/>
      <c r="AE27" s="312"/>
      <c r="AF27" s="312"/>
      <c r="AG27" s="312"/>
      <c r="AH27" s="323"/>
      <c r="AI27" s="323"/>
      <c r="AJ27" s="63">
        <f>SUM(AJ24:AJ26)</f>
        <v>586</v>
      </c>
    </row>
    <row r="28" spans="1:41" s="11" customFormat="1" ht="24" customHeight="1">
      <c r="A28" s="203" t="s">
        <v>26</v>
      </c>
      <c r="B28" s="204"/>
      <c r="C28" s="204"/>
      <c r="D28" s="204"/>
      <c r="E28" s="204"/>
      <c r="F28" s="204"/>
      <c r="G28" s="262"/>
      <c r="H28" s="263" t="s">
        <v>124</v>
      </c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5"/>
      <c r="AL28" s="12"/>
    </row>
    <row r="29" spans="1:41" s="10" customFormat="1" ht="32.25" customHeight="1">
      <c r="A29" s="197" t="s">
        <v>39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84">
        <f>AJ27</f>
        <v>586</v>
      </c>
      <c r="L29" s="184"/>
      <c r="M29" s="184"/>
      <c r="N29" s="184"/>
      <c r="O29" s="184"/>
      <c r="P29" s="184"/>
      <c r="Q29" s="184"/>
      <c r="R29" s="184"/>
      <c r="S29" s="184"/>
      <c r="T29" s="184"/>
      <c r="U29" s="181" t="s">
        <v>40</v>
      </c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65"/>
      <c r="AJ29" s="166"/>
    </row>
    <row r="30" spans="1:41" s="10" customFormat="1" ht="19.5" customHeight="1">
      <c r="A30" s="310" t="s">
        <v>137</v>
      </c>
      <c r="B30" s="311"/>
      <c r="C30" s="311"/>
      <c r="D30" s="311"/>
      <c r="E30" s="311"/>
      <c r="F30" s="311"/>
      <c r="G30" s="311"/>
      <c r="H30" s="311" t="s">
        <v>44</v>
      </c>
      <c r="I30" s="311"/>
      <c r="J30" s="311"/>
      <c r="K30" s="311"/>
      <c r="L30" s="311"/>
      <c r="M30" s="311"/>
      <c r="N30" s="311"/>
      <c r="O30" s="311"/>
      <c r="P30" s="311"/>
      <c r="Q30" s="311" t="s">
        <v>58</v>
      </c>
      <c r="R30" s="311"/>
      <c r="S30" s="311"/>
      <c r="T30" s="311"/>
      <c r="U30" s="311"/>
      <c r="V30" s="311"/>
      <c r="W30" s="311"/>
      <c r="X30" s="311"/>
      <c r="Y30" s="311"/>
      <c r="Z30" s="311"/>
      <c r="AA30" s="311" t="s">
        <v>59</v>
      </c>
      <c r="AB30" s="311"/>
      <c r="AC30" s="311"/>
      <c r="AD30" s="311"/>
      <c r="AE30" s="311"/>
      <c r="AF30" s="311"/>
      <c r="AG30" s="311"/>
      <c r="AH30" s="311" t="s">
        <v>53</v>
      </c>
      <c r="AI30" s="311"/>
      <c r="AJ30" s="341"/>
    </row>
    <row r="31" spans="1:41" s="10" customFormat="1" ht="13.5" customHeight="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41"/>
    </row>
    <row r="32" spans="1:41" s="10" customFormat="1" ht="44.1" customHeight="1" thickBot="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5"/>
      <c r="AI32" s="135"/>
      <c r="AJ32" s="137"/>
    </row>
    <row r="33" ht="17.25" thickTop="1"/>
  </sheetData>
  <sheetProtection password="CF32" sheet="1" objects="1" scenarios="1"/>
  <protectedRanges>
    <protectedRange sqref="V1:AA1" name="範圍11"/>
    <protectedRange sqref="AI18" name="範圍9"/>
    <protectedRange sqref="Z16" name="範圍8"/>
    <protectedRange sqref="A16:K17" name="範圍7"/>
    <protectedRange sqref="R24:AI26" name="範圍4"/>
    <protectedRange sqref="Q6:AJ8" name="範圍3"/>
    <protectedRange sqref="A6:D8" name="範圍2"/>
    <protectedRange sqref="A3:P3" name="範圍1"/>
    <protectedRange sqref="V3" name="範圍5"/>
    <protectedRange sqref="A11:AJ11" name="範圍6"/>
    <protectedRange sqref="H28:AJ28" name="範圍10"/>
  </protectedRanges>
  <mergeCells count="168">
    <mergeCell ref="AI9:AJ10"/>
    <mergeCell ref="Z14:AJ15"/>
    <mergeCell ref="W15:Y15"/>
    <mergeCell ref="AF26:AG26"/>
    <mergeCell ref="U25:X25"/>
    <mergeCell ref="Z25:AB25"/>
    <mergeCell ref="AC25:AE25"/>
    <mergeCell ref="AF25:AG25"/>
    <mergeCell ref="AC18:AF18"/>
    <mergeCell ref="AI18:AJ18"/>
    <mergeCell ref="AG18:AH18"/>
    <mergeCell ref="AC23:AE23"/>
    <mergeCell ref="AH22:AI23"/>
    <mergeCell ref="AJ22:AJ23"/>
    <mergeCell ref="D4:D5"/>
    <mergeCell ref="A22:C22"/>
    <mergeCell ref="F19:J19"/>
    <mergeCell ref="F20:J20"/>
    <mergeCell ref="F21:J21"/>
    <mergeCell ref="A4:C4"/>
    <mergeCell ref="B5:C5"/>
    <mergeCell ref="H7:J7"/>
    <mergeCell ref="E22:G23"/>
    <mergeCell ref="A13:AJ13"/>
    <mergeCell ref="V9:AC10"/>
    <mergeCell ref="A12:AJ12"/>
    <mergeCell ref="A11:G11"/>
    <mergeCell ref="L15:O15"/>
    <mergeCell ref="Q6:U6"/>
    <mergeCell ref="E6:G6"/>
    <mergeCell ref="H9:L10"/>
    <mergeCell ref="M9:U9"/>
    <mergeCell ref="AD11:AH11"/>
    <mergeCell ref="AI11:AJ11"/>
    <mergeCell ref="V11:AC11"/>
    <mergeCell ref="A14:E15"/>
    <mergeCell ref="B7:C7"/>
    <mergeCell ref="E7:G7"/>
    <mergeCell ref="K6:P6"/>
    <mergeCell ref="Q7:U7"/>
    <mergeCell ref="Q8:U8"/>
    <mergeCell ref="K7:P7"/>
    <mergeCell ref="B6:C6"/>
    <mergeCell ref="A9:G10"/>
    <mergeCell ref="K24:Q24"/>
    <mergeCell ref="H8:J8"/>
    <mergeCell ref="K8:P8"/>
    <mergeCell ref="H22:J23"/>
    <mergeCell ref="K22:Q23"/>
    <mergeCell ref="L21:R21"/>
    <mergeCell ref="D22:D23"/>
    <mergeCell ref="B23:C23"/>
    <mergeCell ref="B24:C24"/>
    <mergeCell ref="E24:G24"/>
    <mergeCell ref="H11:L11"/>
    <mergeCell ref="R22:AE22"/>
    <mergeCell ref="AD9:AH10"/>
    <mergeCell ref="P15:Q15"/>
    <mergeCell ref="F14:K15"/>
    <mergeCell ref="L14:Y14"/>
    <mergeCell ref="M11:U11"/>
    <mergeCell ref="H6:J6"/>
    <mergeCell ref="F17:K17"/>
    <mergeCell ref="H24:J24"/>
    <mergeCell ref="C18:G18"/>
    <mergeCell ref="A16:E17"/>
    <mergeCell ref="F16:K16"/>
    <mergeCell ref="L16:O17"/>
    <mergeCell ref="R24:T24"/>
    <mergeCell ref="U24:X24"/>
    <mergeCell ref="R18:T18"/>
    <mergeCell ref="U18:AB18"/>
    <mergeCell ref="R16:R17"/>
    <mergeCell ref="T16:T17"/>
    <mergeCell ref="U16:V17"/>
    <mergeCell ref="Z24:AB24"/>
    <mergeCell ref="R23:T23"/>
    <mergeCell ref="U23:X23"/>
    <mergeCell ref="L19:R19"/>
    <mergeCell ref="P16:Q17"/>
    <mergeCell ref="A18:B18"/>
    <mergeCell ref="W16:X17"/>
    <mergeCell ref="Y16:Y17"/>
    <mergeCell ref="Z16:AJ17"/>
    <mergeCell ref="L20:R20"/>
    <mergeCell ref="J18:Q18"/>
    <mergeCell ref="Q2:U2"/>
    <mergeCell ref="Q3:U3"/>
    <mergeCell ref="H3:I3"/>
    <mergeCell ref="V3:AJ3"/>
    <mergeCell ref="E4:G5"/>
    <mergeCell ref="H4:J5"/>
    <mergeCell ref="K4:P5"/>
    <mergeCell ref="Q4:U5"/>
    <mergeCell ref="V4:X5"/>
    <mergeCell ref="Z4:AJ5"/>
    <mergeCell ref="AH32:AJ32"/>
    <mergeCell ref="A29:J29"/>
    <mergeCell ref="K29:T29"/>
    <mergeCell ref="U29:AH29"/>
    <mergeCell ref="AH30:AJ31"/>
    <mergeCell ref="AA32:AG32"/>
    <mergeCell ref="H26:J26"/>
    <mergeCell ref="Z27:AB27"/>
    <mergeCell ref="AC27:AE27"/>
    <mergeCell ref="A32:G32"/>
    <mergeCell ref="H32:P32"/>
    <mergeCell ref="Q32:Z32"/>
    <mergeCell ref="A27:Q27"/>
    <mergeCell ref="U27:X27"/>
    <mergeCell ref="R27:T27"/>
    <mergeCell ref="R26:T26"/>
    <mergeCell ref="K26:Q26"/>
    <mergeCell ref="B26:C26"/>
    <mergeCell ref="E26:G26"/>
    <mergeCell ref="Q30:Z31"/>
    <mergeCell ref="A28:G28"/>
    <mergeCell ref="H28:AJ28"/>
    <mergeCell ref="AI29:AJ29"/>
    <mergeCell ref="AA30:AG31"/>
    <mergeCell ref="A30:G31"/>
    <mergeCell ref="H30:P31"/>
    <mergeCell ref="AF27:AG27"/>
    <mergeCell ref="AC24:AE24"/>
    <mergeCell ref="AF24:AG24"/>
    <mergeCell ref="Z23:AB23"/>
    <mergeCell ref="AF22:AG23"/>
    <mergeCell ref="AH27:AI27"/>
    <mergeCell ref="H18:I18"/>
    <mergeCell ref="B25:C25"/>
    <mergeCell ref="E25:G25"/>
    <mergeCell ref="T20:U20"/>
    <mergeCell ref="V20:AJ20"/>
    <mergeCell ref="T21:U21"/>
    <mergeCell ref="V21:AJ21"/>
    <mergeCell ref="H25:J25"/>
    <mergeCell ref="K25:Q25"/>
    <mergeCell ref="R25:T25"/>
    <mergeCell ref="AH24:AI24"/>
    <mergeCell ref="AH26:AI26"/>
    <mergeCell ref="U26:X26"/>
    <mergeCell ref="Z26:AB26"/>
    <mergeCell ref="AH25:AI25"/>
    <mergeCell ref="AC26:AE26"/>
    <mergeCell ref="A1:AF1"/>
    <mergeCell ref="V6:X6"/>
    <mergeCell ref="Z6:AJ6"/>
    <mergeCell ref="V7:X7"/>
    <mergeCell ref="Z7:AJ7"/>
    <mergeCell ref="V8:X8"/>
    <mergeCell ref="Z8:AJ8"/>
    <mergeCell ref="T19:U19"/>
    <mergeCell ref="V19:AJ19"/>
    <mergeCell ref="AG1:AI1"/>
    <mergeCell ref="A19:C21"/>
    <mergeCell ref="D19:E19"/>
    <mergeCell ref="D20:E20"/>
    <mergeCell ref="D21:E21"/>
    <mergeCell ref="A2:G2"/>
    <mergeCell ref="H2:I2"/>
    <mergeCell ref="V2:AJ2"/>
    <mergeCell ref="A3:G3"/>
    <mergeCell ref="B8:C8"/>
    <mergeCell ref="E8:G8"/>
    <mergeCell ref="U15:V15"/>
    <mergeCell ref="M10:U10"/>
    <mergeCell ref="J2:P2"/>
    <mergeCell ref="J3:P3"/>
  </mergeCells>
  <phoneticPr fontId="8" type="noConversion"/>
  <conditionalFormatting sqref="V6:X6">
    <cfRule type="expression" dxfId="36" priority="127">
      <formula>IF(AND(LEN($A6)&gt;0,LEN($B6)&gt;0),TRUE,FALSE)</formula>
    </cfRule>
    <cfRule type="expression" dxfId="35" priority="126">
      <formula>IF(OR(LEN($A6)=0,LEN($B6)=0),TRUE,FALSE)</formula>
    </cfRule>
  </conditionalFormatting>
  <conditionalFormatting sqref="V7:X7">
    <cfRule type="expression" priority="104">
      <formula>IF(V7&lt;&gt;"",TRUE,FALSE)</formula>
    </cfRule>
    <cfRule type="expression" dxfId="34" priority="105">
      <formula>IF(V7="",TRUE,FALSE)</formula>
    </cfRule>
  </conditionalFormatting>
  <conditionalFormatting sqref="D6:AJ6 Z7:AJ7 Q7:U7">
    <cfRule type="expression" dxfId="33" priority="96">
      <formula>IF(OR(LEN($A6)=0,LEN($B6)=0),TRUE,FALSE)</formula>
    </cfRule>
    <cfRule type="expression" dxfId="32" priority="97">
      <formula>IF(AND(LEN($A6)&gt;0,LEN($B6)&gt;0),TRUE,FALSE)</formula>
    </cfRule>
  </conditionalFormatting>
  <conditionalFormatting sqref="D19:AJ19">
    <cfRule type="expression" dxfId="31" priority="95">
      <formula>IF(AND(LEN($A6)&gt;0,LEN($B6)&gt;0),TRUE,FALSE)</formula>
    </cfRule>
    <cfRule type="expression" dxfId="30" priority="10">
      <formula>IF(OR(LEN($A6)=0,LEN($B6)=0),TRUE,FALSE)</formula>
    </cfRule>
  </conditionalFormatting>
  <conditionalFormatting sqref="V7:X7">
    <cfRule type="expression" priority="90">
      <formula>IF(V7&lt;&gt;"",TRUE,FALSE)</formula>
    </cfRule>
    <cfRule type="expression" dxfId="29" priority="91">
      <formula>IF(V7="",TRUE,FALSE)</formula>
    </cfRule>
  </conditionalFormatting>
  <conditionalFormatting sqref="D7:AJ7 Q8:U8 Z8:AJ8">
    <cfRule type="expression" dxfId="28" priority="88">
      <formula>IF(OR(LEN($A7)=0,LEN($B7)=0),TRUE,FALSE)</formula>
    </cfRule>
    <cfRule type="expression" dxfId="27" priority="89">
      <formula>IF(AND(LEN($A7)&gt;0,LEN($B7)&gt;0),TRUE,FALSE)</formula>
    </cfRule>
  </conditionalFormatting>
  <conditionalFormatting sqref="V7:X7">
    <cfRule type="expression" dxfId="26" priority="69">
      <formula>IF(OR(LEN($A7)=0,LEN($B7)=0),TRUE,FALSE)</formula>
    </cfRule>
    <cfRule type="expression" dxfId="25" priority="70">
      <formula>IF(AND(LEN($A7)&gt;0,LEN($B7)&gt;0),TRUE,FALSE)</formula>
    </cfRule>
  </conditionalFormatting>
  <conditionalFormatting sqref="D7:AJ7 Q8:U8 Z8:AJ8">
    <cfRule type="expression" dxfId="24" priority="67">
      <formula>IF(OR(LEN($A7)=0,LEN($B7)=0),TRUE,FALSE)</formula>
    </cfRule>
    <cfRule type="expression" dxfId="23" priority="68">
      <formula>IF(AND(LEN($A7)&gt;0,LEN($B7)&gt;0),TRUE,FALSE)</formula>
    </cfRule>
  </conditionalFormatting>
  <conditionalFormatting sqref="V8:X8">
    <cfRule type="expression" dxfId="22" priority="65">
      <formula>IF(OR(LEN($A8)=0,LEN($B8)=0),TRUE,FALSE)</formula>
    </cfRule>
    <cfRule type="expression" dxfId="21" priority="66">
      <formula>IF(AND(LEN($A8)&gt;0,LEN($B8)&gt;0),TRUE,FALSE)</formula>
    </cfRule>
  </conditionalFormatting>
  <conditionalFormatting sqref="D8:AJ8">
    <cfRule type="expression" dxfId="20" priority="63">
      <formula>IF(OR(LEN($A8)=0,LEN($B8)=0),TRUE,FALSE)</formula>
    </cfRule>
    <cfRule type="expression" dxfId="19" priority="64">
      <formula>IF(AND(LEN($A8)&gt;0,LEN($B8)&gt;0),TRUE,FALSE)</formula>
    </cfRule>
  </conditionalFormatting>
  <conditionalFormatting sqref="A24:AG24">
    <cfRule type="expression" dxfId="18" priority="62">
      <formula>IF(OR(LEN($A6)=0,LEN($B6)=0),TRUE,FALSE)</formula>
    </cfRule>
    <cfRule type="expression" dxfId="17" priority="92">
      <formula>IF(AND(LEN($A6)&gt;0,LEN($B6)&gt;0),TRUE,FALSE)</formula>
    </cfRule>
  </conditionalFormatting>
  <conditionalFormatting sqref="A25:AG25">
    <cfRule type="expression" dxfId="16" priority="21">
      <formula>IF(OR(LEN($A7)=0,LEN($B7)=0),TRUE,FALSE)</formula>
    </cfRule>
    <cfRule type="expression" dxfId="15" priority="22">
      <formula>IF(AND(LEN($A7)&gt;0,LEN($B7)&gt;0),TRUE,FALSE)</formula>
    </cfRule>
  </conditionalFormatting>
  <conditionalFormatting sqref="A26:AG26">
    <cfRule type="expression" dxfId="14" priority="19">
      <formula>IF(OR(LEN($A8)=0,LEN($B8)=0),TRUE,FALSE)</formula>
    </cfRule>
    <cfRule type="expression" dxfId="13" priority="20">
      <formula>IF(AND(LEN($A8)&gt;0,LEN($B8)&gt;0),TRUE,FALSE)</formula>
    </cfRule>
  </conditionalFormatting>
  <conditionalFormatting sqref="AH24:AI24">
    <cfRule type="expression" dxfId="12" priority="17" stopIfTrue="1">
      <formula>IF(OR(LEN($A24)=0,LEN($B24)=0,$V$6="公假"),TRUE,FALSE)</formula>
    </cfRule>
    <cfRule type="expression" dxfId="11" priority="18" stopIfTrue="1">
      <formula>IF(AND(LEN($A24)&gt;0,LEN($B24)&gt;0,$V$6="公差"),TRUE,FALSE)</formula>
    </cfRule>
  </conditionalFormatting>
  <conditionalFormatting sqref="AH25:AI25">
    <cfRule type="expression" dxfId="10" priority="15" stopIfTrue="1">
      <formula>IF(OR(LEN($A25)=0,LEN($B25)=0,$V$7="公假"),TRUE,FALSE)</formula>
    </cfRule>
    <cfRule type="expression" dxfId="9" priority="16" stopIfTrue="1">
      <formula>IF(AND(LEN($A25)&gt;0,LEN($B25)&gt;0,$V$7="公差"),TRUE,FALSE)</formula>
    </cfRule>
  </conditionalFormatting>
  <conditionalFormatting sqref="AH26:AI26">
    <cfRule type="expression" dxfId="8" priority="11" stopIfTrue="1">
      <formula>IF(OR(LEN($A26)=0,LEN($B26)=0,$V$8="公假"),TRUE,FALSE)</formula>
    </cfRule>
    <cfRule type="expression" dxfId="7" priority="12" stopIfTrue="1">
      <formula>IF(AND(LEN($A26)&gt;0,LEN($B26)&gt;0,$V$8="公差"),TRUE,FALSE)</formula>
    </cfRule>
  </conditionalFormatting>
  <conditionalFormatting sqref="T19:U19">
    <cfRule type="expression" dxfId="6" priority="94">
      <formula>IF(AND(LEN($A6)&gt;0,LEN($B6)&gt;0),TRUE,FALSE)</formula>
    </cfRule>
  </conditionalFormatting>
  <conditionalFormatting sqref="D20:AJ20">
    <cfRule type="expression" dxfId="5" priority="7">
      <formula>IF(OR(LEN($A7)=0,LEN($B7)=0),TRUE,FALSE)</formula>
    </cfRule>
    <cfRule type="expression" dxfId="4" priority="9">
      <formula>IF(AND(LEN($A7)&gt;0,LEN($B7)&gt;0),TRUE,FALSE)</formula>
    </cfRule>
  </conditionalFormatting>
  <conditionalFormatting sqref="T20:U20">
    <cfRule type="expression" dxfId="3" priority="8">
      <formula>IF(AND(LEN($A7)&gt;0,LEN($B7)&gt;0),TRUE,FALSE)</formula>
    </cfRule>
  </conditionalFormatting>
  <conditionalFormatting sqref="D21:AJ21">
    <cfRule type="expression" dxfId="2" priority="1">
      <formula>IF(OR(LEN($A8)=0,LEN($B8)=0),TRUE,FALSE)</formula>
    </cfRule>
    <cfRule type="expression" dxfId="1" priority="3">
      <formula>IF(AND(LEN($A8)&gt;0,LEN($B8)&gt;0),TRUE,FALSE)</formula>
    </cfRule>
  </conditionalFormatting>
  <conditionalFormatting sqref="T21:U21">
    <cfRule type="expression" dxfId="0" priority="2">
      <formula>IF(AND(LEN($A8)&gt;0,LEN($B8)&gt;0),TRUE,FALSE)</formula>
    </cfRule>
  </conditionalFormatting>
  <dataValidations count="27">
    <dataValidation type="custom" errorStyle="information" showInputMessage="1" showErrorMessage="1" errorTitle="差旅費錯誤!!" error="同一日只能領取最高差旅標準一次!!" sqref="Y24">
      <formula1>IF(AND(LEN($A24)&gt;0,NOT(OR($A24&amp;$B24=$A25&amp;$B25,$A24&amp;$B24=$A26&amp;$B26))),TRUE,FALSE)</formula1>
    </dataValidation>
    <dataValidation type="custom" errorStyle="information" allowBlank="1" showInputMessage="1" showErrorMessage="1" errorTitle="差旅費錯誤!!" error="同一日只能領取最高差旅標準一次!!" sqref="Y25">
      <formula1>IF(AND(LEN($A25)&gt;0,NOT(OR($A25&amp;$B25=$A24&amp;$B24,$A25&amp;$B25=$A26&amp;$B26))),TRUE,FALSE)</formula1>
    </dataValidation>
    <dataValidation type="custom" errorStyle="information" allowBlank="1" showInputMessage="1" showErrorMessage="1" errorTitle="差旅費錯誤!!" error="同一日只能領取最高差旅標準一次!!" sqref="Y26">
      <formula1>IF(AND(LEN($A26)&gt;0,NOT(OR($A26&amp;$B26=$A24&amp;$B24,$A26&amp;$B26=$A25&amp;$B25))),TRUE,FALSE)</formula1>
    </dataValidation>
    <dataValidation type="custom" errorStyle="information" allowBlank="1" showInputMessage="1" showErrorMessage="1" errorTitle="差旅費錯誤!!" error="同一日差假只能領取最高差旅費一次!!" sqref="AH24:AI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showInputMessage="1" showErrorMessage="1" errorTitle="差旅費錯誤!!" error="同一日差假只能領取最高差旅費一次!!" sqref="AC24:AE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allowBlank="1" showInputMessage="1" showErrorMessage="1" errorTitle="差旅費錯誤!!" error="同一日差假只能領取最高差旅費一次!!" sqref="AH26:AI26">
      <formula1>IF(AND(LEN($A26)&gt;0,OR(AND($A26&amp;$B26=$A24&amp;$B24,SUM(R26:AJ26)&gt;0,SUM(R24:AJ24)&gt;0),AND($A26&amp;$B26=$A25&amp;$B25,SUM(R26:AJ26)&gt;0,SUM(R25:AJ25)&gt;0))),FALSE,TRUE)</formula1>
    </dataValidation>
    <dataValidation type="custom" errorStyle="information" showInputMessage="1" showErrorMessage="1" errorTitle="差旅費錯誤!!" error="同一日只能領取最高差旅標準一次!!" sqref="AF24:AG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showInputMessage="1" showErrorMessage="1" errorTitle="差旅費錯誤!!" error="同一日只能領取最高差旅標準一次!!" sqref="R24:T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showInputMessage="1" showErrorMessage="1" errorTitle="差旅費錯誤!!" error="同一日只能領取最高差旅標準一次!!" sqref="U24:X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showInputMessage="1" showErrorMessage="1" errorTitle="差旅費錯誤!!" error="同一日只能領取最高差旅標準一次!!" sqref="Z24:AB24">
      <formula1>IF(AND(LEN($A24)&gt;0,OR(AND($A24&amp;$B24=$A25&amp;$B25,SUM(R24:AJ24)&gt;0,SUM(R25:AJ25)&gt;0),AND($A24&amp;$B24=$A26&amp;$B26,SUM(R24:AJ24)&gt;0,SUM(R26:AJ26)&gt;0))),FALSE,TRUE)</formula1>
    </dataValidation>
    <dataValidation type="custom" errorStyle="information" allowBlank="1" showInputMessage="1" showErrorMessage="1" errorTitle="差旅費錯誤!!" error="同一日只能領取最高差旅標準一次!!" sqref="R25:T25">
      <formula1>IF(AND(LEN($A25)&gt;0,OR(AND($A25&amp;$B25=$A24&amp;$B24,SUM(R25:AJ25)&gt;0,SUM(R24:AJ24)&gt;0),AND($A25&amp;$B25=$A26&amp;$B26,SUM(R25:AJ25)&gt;0,SUM(R26:AJ26)&gt;0))),FALSE,TRUE)</formula1>
    </dataValidation>
    <dataValidation type="custom" errorStyle="information" allowBlank="1" showInputMessage="1" showErrorMessage="1" errorTitle="差旅費錯誤!!" error="同一日只能領取最高差旅標準一次!!" sqref="U25:X25">
      <formula1>IF(AND(LEN($A25)&gt;0,OR(AND($A25&amp;$B25=$A24&amp;$B24,SUM(R25:AJ25)&gt;0,SUM(R24:AJ24)&gt;0),AND($A25&amp;$B25=$A26&amp;$B26,SUM(R25:AJ25)&gt;0,SUM(R26:AJ26)&gt;0))),FALSE,TRUE)</formula1>
    </dataValidation>
    <dataValidation type="custom" errorStyle="information" allowBlank="1" showInputMessage="1" showErrorMessage="1" errorTitle="差旅費錯誤!!" error="同一日只能領取最高差旅標準一次!!" sqref="Z25:AB25">
      <formula1>IF(AND(LEN($A25)&gt;0,OR(AND($A25&amp;$B25=$A24&amp;$B24,SUM(R25:AJ25)&gt;0,SUM(R24:AJ24)&gt;0),AND($A25&amp;$B25=$A26&amp;$B26,SUM(R25:AJ25)&gt;0,SUM(R26:AJ26)&gt;0))),FALSE,TRUE)</formula1>
    </dataValidation>
    <dataValidation type="custom" errorStyle="information" allowBlank="1" showInputMessage="1" showErrorMessage="1" errorTitle="差旅費錯誤!!" error="同一日差假只能領取最高差旅費一次!!" sqref="AC25:AE25">
      <formula1>IF(AND(LEN($A25)&gt;0,OR(AND($A25&amp;$B25=$A24&amp;$B24,SUM(R25:AJ25)&gt;0,SUM(R24:AJ24)&gt;0),AND($A25&amp;$B25=$A26&amp;$B26,SUM(R25:AJ25)&gt;0,SUM(R26:AJ26)&gt;0))),FALSE,TRUE)</formula1>
    </dataValidation>
    <dataValidation type="custom" errorStyle="information" allowBlank="1" showInputMessage="1" showErrorMessage="1" errorTitle="差旅費錯誤!!" error="同一日只能領取最高差旅標準一次!!" sqref="AF25:AG25">
      <formula1>IF(AND(LEN($A25)&gt;0,OR(AND($A25&amp;$B25=$A24&amp;$B24,SUM(R25:AJ25)&gt;0,SUM(R24:AJ24)&gt;0),AND($A25&amp;$B25=$A26&amp;$B26,SUM(R25:AJ25)&gt;0,SUM(R26:AJ26)&gt;0))),FALSE,TRUE)</formula1>
    </dataValidation>
    <dataValidation type="custom" errorStyle="information" allowBlank="1" showInputMessage="1" showErrorMessage="1" errorTitle="差旅費錯誤!!" error="同一日只能領取最高差旅標準一次!!" sqref="R26:T26">
      <formula1>IF(AND(LEN($A26)&gt;0,OR(AND($A26&amp;$B26=$A24&amp;$B24,SUM(R26:AJ26)&gt;0,SUM(R24:AJ24)&gt;0),AND($A26&amp;$B26=$A25&amp;$B25,SUM(R26:AJ26)&gt;0,SUM(R25:AJ25)&gt;0))),FALSE,TRUE)</formula1>
    </dataValidation>
    <dataValidation type="custom" errorStyle="information" allowBlank="1" showInputMessage="1" showErrorMessage="1" errorTitle="差旅費錯誤!!" error="同一日只能領取最高差旅標準一次!!" sqref="U26:X26">
      <formula1>IF(AND(LEN($A26)&gt;0,OR(AND($A26&amp;$B26=$A24&amp;$B24,SUM(R26:AJ26)&gt;0,SUM(R24:AJ24)&gt;0),AND($A26&amp;$B26=$A25&amp;$B25,SUM(R26:AJ26)&gt;0,SUM(R25:AJ25)&gt;0))),FALSE,TRUE)</formula1>
    </dataValidation>
    <dataValidation type="custom" errorStyle="information" allowBlank="1" showInputMessage="1" showErrorMessage="1" errorTitle="差旅費錯誤!!" error="同一日只能領取最高差旅標準一次!!" sqref="Z26:AB26">
      <formula1>IF(AND(LEN($A26)&gt;0,OR(AND($A26&amp;$B26=$A24&amp;$B24,SUM(R26:AJ26)&gt;0,SUM(R24:AJ24)&gt;0),AND($A26&amp;$B26=$A25&amp;$B25,SUM(R26:AJ26)&gt;0,SUM(R25:AJ25)&gt;0))),FALSE,TRUE)</formula1>
    </dataValidation>
    <dataValidation type="custom" errorStyle="information" allowBlank="1" showInputMessage="1" showErrorMessage="1" errorTitle="差旅費錯誤!!" error="同一日差假只能領取最高差旅費一次!!" sqref="AC26:AE26">
      <formula1>IF(AND(LEN($A26)&gt;0,OR(AND($A26&amp;$B26=$A24&amp;$B24,SUM(R26:AJ26)&gt;0,SUM(R24:AJ24)&gt;0),AND($A26&amp;$B26=$A25&amp;$B25,SUM(R26:AJ26)&gt;0,SUM(R25:AJ25)&gt;0))),FALSE,TRUE)</formula1>
    </dataValidation>
    <dataValidation type="custom" errorStyle="information" allowBlank="1" showInputMessage="1" showErrorMessage="1" errorTitle="差旅費錯誤!!" error="同一日只能領取最高差旅標準一次!!" sqref="AF26:AG26">
      <formula1>IF(AND(LEN($A26)&gt;0,OR(AND($A26&amp;$B26=$A24&amp;$B24,SUM(R26:AJ26)&gt;0,SUM(R24:AJ24)&gt;0),AND($A26&amp;$B26=$A25&amp;$B25,SUM(R26:AJ26)&gt;0,SUM(R25:AJ25)&gt;0))),FALSE,TRUE)</formula1>
    </dataValidation>
    <dataValidation showInputMessage="1" showErrorMessage="1" sqref="D24:D26"/>
    <dataValidation type="list" showInputMessage="1" showErrorMessage="1" sqref="D6:D8">
      <formula1>"全日,上午,下午,          "</formula1>
    </dataValidation>
    <dataValidation type="list" allowBlank="1" showInputMessage="1" showErrorMessage="1" sqref="V8:X8">
      <formula1>"公差,公假"</formula1>
    </dataValidation>
    <dataValidation type="custom" errorStyle="information" allowBlank="1" showInputMessage="1" showErrorMessage="1" errorTitle="差旅費錯誤!!" error="同一日差假只能領取最高差旅費一次!!" sqref="AH25:AI25">
      <formula1>IF(AND(LEN($A25)&gt;0,OR(AND($A25&amp;$B25=$A26&amp;$B26,SUM(R25:AJ25)&gt;0,SUM(R26:AJ26)&gt;0),AND($A25&amp;$B25=$A24&amp;$B24,SUM(R25:AJ25)&gt;0,SUM(R24:AJ24)&gt;0))),FALSE,TRUE)</formula1>
    </dataValidation>
    <dataValidation type="list" allowBlank="1" showInputMessage="1" showErrorMessage="1" sqref="V7:X7">
      <formula1>"公差,公假"</formula1>
    </dataValidation>
    <dataValidation type="list" showInputMessage="1" showErrorMessage="1" sqref="V6:X6">
      <formula1>"公差,公假"</formula1>
    </dataValidation>
    <dataValidation type="list" allowBlank="1" showInputMessage="1" showErrorMessage="1" sqref="A3:G3">
      <formula1>"校長室,教務處,學務處,總務處,輔導室,幼兒園,人事室,會計室"</formula1>
    </dataValidation>
  </dataValidations>
  <pageMargins left="7.874015748031496E-2" right="7.874015748031496E-2" top="0.31496062992125984" bottom="0.19685039370078741" header="0.51181102362204722" footer="0.51181102362204722"/>
  <pageSetup paperSize="9" scale="98" orientation="portrait" r:id="rId1"/>
  <headerFooter alignWithMargins="0"/>
  <cellWatches>
    <cellWatch r="AJ24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9900"/>
  </sheetPr>
  <dimension ref="A1:H25"/>
  <sheetViews>
    <sheetView workbookViewId="0">
      <selection activeCell="A19" sqref="A19:E21"/>
    </sheetView>
  </sheetViews>
  <sheetFormatPr defaultRowHeight="16.5"/>
  <cols>
    <col min="1" max="1" width="14" customWidth="1"/>
    <col min="2" max="2" width="16.875" customWidth="1"/>
    <col min="3" max="3" width="18.25" customWidth="1"/>
    <col min="4" max="4" width="13.375" customWidth="1"/>
  </cols>
  <sheetData>
    <row r="1" spans="1:8" ht="29.25" customHeight="1" thickBot="1">
      <c r="A1" s="419" t="s">
        <v>177</v>
      </c>
      <c r="B1" s="420"/>
      <c r="C1" s="420"/>
      <c r="D1" s="420"/>
    </row>
    <row r="2" spans="1:8" ht="27" customHeight="1" thickBot="1">
      <c r="A2" s="84" t="s">
        <v>141</v>
      </c>
      <c r="B2" s="85" t="s">
        <v>142</v>
      </c>
      <c r="C2" s="85" t="s">
        <v>171</v>
      </c>
      <c r="D2" s="85" t="s">
        <v>172</v>
      </c>
    </row>
    <row r="3" spans="1:8" ht="30" customHeight="1" thickBot="1">
      <c r="A3" s="78" t="s">
        <v>143</v>
      </c>
      <c r="B3" s="79" t="s">
        <v>144</v>
      </c>
      <c r="C3" s="80" t="s">
        <v>169</v>
      </c>
      <c r="D3" s="86">
        <v>48</v>
      </c>
    </row>
    <row r="4" spans="1:8" ht="30" customHeight="1" thickBot="1">
      <c r="A4" s="78" t="s">
        <v>143</v>
      </c>
      <c r="B4" s="79" t="s">
        <v>145</v>
      </c>
      <c r="C4" s="80" t="s">
        <v>146</v>
      </c>
      <c r="D4" s="86">
        <v>94</v>
      </c>
    </row>
    <row r="5" spans="1:8" ht="30" customHeight="1" thickBot="1">
      <c r="A5" s="78" t="s">
        <v>143</v>
      </c>
      <c r="B5" s="79" t="s">
        <v>147</v>
      </c>
      <c r="C5" s="80" t="s">
        <v>146</v>
      </c>
      <c r="D5" s="86">
        <v>94</v>
      </c>
    </row>
    <row r="6" spans="1:8" ht="30" customHeight="1" thickBot="1">
      <c r="A6" s="78" t="s">
        <v>143</v>
      </c>
      <c r="B6" s="79" t="s">
        <v>148</v>
      </c>
      <c r="C6" s="80" t="s">
        <v>146</v>
      </c>
      <c r="D6" s="86">
        <v>94</v>
      </c>
      <c r="H6" t="s">
        <v>170</v>
      </c>
    </row>
    <row r="7" spans="1:8" ht="30" customHeight="1" thickBot="1">
      <c r="A7" s="78" t="s">
        <v>143</v>
      </c>
      <c r="B7" s="79" t="s">
        <v>149</v>
      </c>
      <c r="C7" s="80" t="s">
        <v>150</v>
      </c>
      <c r="D7" s="86">
        <v>108</v>
      </c>
    </row>
    <row r="8" spans="1:8" ht="30" customHeight="1" thickBot="1">
      <c r="A8" s="78" t="s">
        <v>143</v>
      </c>
      <c r="B8" s="79" t="s">
        <v>151</v>
      </c>
      <c r="C8" s="80" t="s">
        <v>152</v>
      </c>
      <c r="D8" s="86">
        <v>110</v>
      </c>
    </row>
    <row r="9" spans="1:8" ht="30" customHeight="1" thickBot="1">
      <c r="A9" s="78" t="s">
        <v>143</v>
      </c>
      <c r="B9" s="79" t="s">
        <v>153</v>
      </c>
      <c r="C9" s="80" t="s">
        <v>154</v>
      </c>
      <c r="D9" s="86">
        <v>148</v>
      </c>
    </row>
    <row r="10" spans="1:8" ht="30" customHeight="1" thickBot="1">
      <c r="A10" s="78" t="s">
        <v>143</v>
      </c>
      <c r="B10" s="79" t="s">
        <v>155</v>
      </c>
      <c r="C10" s="80" t="s">
        <v>156</v>
      </c>
      <c r="D10" s="86">
        <v>184</v>
      </c>
    </row>
    <row r="11" spans="1:8" ht="30" customHeight="1" thickBot="1">
      <c r="A11" s="78" t="s">
        <v>143</v>
      </c>
      <c r="B11" s="79" t="s">
        <v>157</v>
      </c>
      <c r="C11" s="80" t="s">
        <v>158</v>
      </c>
      <c r="D11" s="86">
        <v>142</v>
      </c>
    </row>
    <row r="12" spans="1:8" ht="30" customHeight="1" thickBot="1">
      <c r="A12" s="78" t="s">
        <v>143</v>
      </c>
      <c r="B12" s="79" t="s">
        <v>159</v>
      </c>
      <c r="C12" s="80" t="s">
        <v>160</v>
      </c>
      <c r="D12" s="86">
        <v>130</v>
      </c>
    </row>
    <row r="13" spans="1:8" ht="30" customHeight="1" thickBot="1">
      <c r="A13" s="78" t="s">
        <v>143</v>
      </c>
      <c r="B13" s="79" t="s">
        <v>161</v>
      </c>
      <c r="C13" s="80" t="s">
        <v>162</v>
      </c>
      <c r="D13" s="86">
        <v>166</v>
      </c>
    </row>
    <row r="14" spans="1:8" ht="30" customHeight="1" thickBot="1">
      <c r="A14" s="78" t="s">
        <v>143</v>
      </c>
      <c r="B14" s="79" t="s">
        <v>163</v>
      </c>
      <c r="C14" s="80" t="s">
        <v>164</v>
      </c>
      <c r="D14" s="86">
        <v>266</v>
      </c>
    </row>
    <row r="15" spans="1:8" ht="30" customHeight="1" thickBot="1">
      <c r="A15" s="78" t="s">
        <v>143</v>
      </c>
      <c r="B15" s="79" t="s">
        <v>165</v>
      </c>
      <c r="C15" s="80" t="s">
        <v>166</v>
      </c>
      <c r="D15" s="86">
        <v>180</v>
      </c>
    </row>
    <row r="16" spans="1:8" ht="30" customHeight="1" thickBot="1">
      <c r="A16" s="78" t="s">
        <v>143</v>
      </c>
      <c r="B16" s="79" t="s">
        <v>167</v>
      </c>
      <c r="C16" s="80" t="s">
        <v>168</v>
      </c>
      <c r="D16" s="86">
        <v>220</v>
      </c>
    </row>
    <row r="17" spans="1:5" ht="21">
      <c r="A17" s="81"/>
      <c r="B17" s="81"/>
      <c r="C17" s="82"/>
      <c r="D17" s="83"/>
    </row>
    <row r="18" spans="1:5" ht="21">
      <c r="A18" s="81"/>
      <c r="B18" s="81"/>
      <c r="C18" s="82"/>
      <c r="D18" s="83"/>
    </row>
    <row r="19" spans="1:5">
      <c r="A19" s="418" t="s">
        <v>140</v>
      </c>
      <c r="B19" s="418"/>
      <c r="C19" s="418"/>
      <c r="D19" s="418"/>
      <c r="E19" s="418"/>
    </row>
    <row r="20" spans="1:5">
      <c r="A20" s="418"/>
      <c r="B20" s="418"/>
      <c r="C20" s="418"/>
      <c r="D20" s="418"/>
      <c r="E20" s="418"/>
    </row>
    <row r="21" spans="1:5">
      <c r="A21" s="418"/>
      <c r="B21" s="418"/>
      <c r="C21" s="418"/>
      <c r="D21" s="418"/>
      <c r="E21" s="418"/>
    </row>
    <row r="23" spans="1:5">
      <c r="A23" s="421" t="s">
        <v>180</v>
      </c>
      <c r="B23" s="421"/>
      <c r="C23" s="421"/>
      <c r="D23" s="421"/>
      <c r="E23" s="421"/>
    </row>
    <row r="24" spans="1:5">
      <c r="A24" s="421"/>
      <c r="B24" s="421"/>
      <c r="C24" s="421"/>
      <c r="D24" s="421"/>
      <c r="E24" s="421"/>
    </row>
    <row r="25" spans="1:5">
      <c r="A25" s="421"/>
      <c r="B25" s="421"/>
      <c r="C25" s="421"/>
      <c r="D25" s="421"/>
      <c r="E25" s="421"/>
    </row>
  </sheetData>
  <sheetProtection password="CF32" sheet="1" objects="1" scenarios="1"/>
  <protectedRanges>
    <protectedRange sqref="A23" name="範圍2"/>
    <protectedRange sqref="A19" name="範圍1"/>
  </protectedRanges>
  <mergeCells count="3">
    <mergeCell ref="A19:E21"/>
    <mergeCell ref="A1:D1"/>
    <mergeCell ref="A23:E25"/>
  </mergeCells>
  <phoneticPr fontId="8" type="noConversion"/>
  <hyperlinks>
    <hyperlink ref="A19:E21" r:id="rId1" display="台灣鐵路票價查詢系統"/>
    <hyperlink ref="A23:E25" r:id="rId2" display="GOOGLE 地圖查詢系統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43"/>
  </sheetPr>
  <dimension ref="A1:W31"/>
  <sheetViews>
    <sheetView topLeftCell="A10" workbookViewId="0">
      <selection activeCell="G29" sqref="G29"/>
    </sheetView>
  </sheetViews>
  <sheetFormatPr defaultRowHeight="16.5"/>
  <cols>
    <col min="1" max="1" width="9" style="33"/>
    <col min="2" max="2" width="12.875" style="33" customWidth="1"/>
    <col min="3" max="5" width="9" style="33"/>
    <col min="6" max="6" width="13.875" style="33" customWidth="1"/>
    <col min="7" max="8" width="9" style="33"/>
    <col min="9" max="9" width="12.375" style="33" customWidth="1"/>
    <col min="10" max="16384" width="9" style="33"/>
  </cols>
  <sheetData>
    <row r="1" spans="1:23" ht="17.25" thickBot="1">
      <c r="I1" s="87" t="s">
        <v>179</v>
      </c>
    </row>
    <row r="2" spans="1:23" ht="22.5" thickTop="1" thickBot="1">
      <c r="A2" s="460" t="s">
        <v>111</v>
      </c>
      <c r="B2" s="461"/>
      <c r="C2" s="461"/>
      <c r="D2" s="461"/>
      <c r="E2" s="461"/>
      <c r="F2" s="461"/>
      <c r="G2" s="461"/>
      <c r="H2" s="461"/>
      <c r="I2" s="462"/>
    </row>
    <row r="3" spans="1:23" ht="20.25" thickBot="1">
      <c r="A3" s="463" t="s">
        <v>80</v>
      </c>
      <c r="B3" s="465" t="s">
        <v>81</v>
      </c>
      <c r="C3" s="467" t="s">
        <v>82</v>
      </c>
      <c r="D3" s="468"/>
      <c r="E3" s="468"/>
      <c r="F3" s="468"/>
      <c r="G3" s="468"/>
      <c r="H3" s="469"/>
      <c r="I3" s="465" t="s">
        <v>26</v>
      </c>
    </row>
    <row r="4" spans="1:23" ht="20.25" thickBot="1">
      <c r="A4" s="464"/>
      <c r="B4" s="466"/>
      <c r="C4" s="467" t="s">
        <v>83</v>
      </c>
      <c r="D4" s="468"/>
      <c r="E4" s="469"/>
      <c r="F4" s="48" t="s">
        <v>16</v>
      </c>
      <c r="G4" s="470" t="s">
        <v>84</v>
      </c>
      <c r="H4" s="469"/>
      <c r="I4" s="466"/>
    </row>
    <row r="5" spans="1:23" ht="74.25" customHeight="1" thickBot="1">
      <c r="A5" s="448" t="s">
        <v>85</v>
      </c>
      <c r="B5" s="450" t="s">
        <v>86</v>
      </c>
      <c r="C5" s="34" t="s">
        <v>115</v>
      </c>
      <c r="D5" s="452" t="s">
        <v>173</v>
      </c>
      <c r="E5" s="453"/>
      <c r="F5" s="35" t="s">
        <v>87</v>
      </c>
      <c r="G5" s="454" t="s">
        <v>87</v>
      </c>
      <c r="H5" s="455"/>
      <c r="I5" s="36" t="s">
        <v>88</v>
      </c>
    </row>
    <row r="6" spans="1:23" ht="86.25" customHeight="1" thickBot="1">
      <c r="A6" s="449"/>
      <c r="B6" s="451"/>
      <c r="C6" s="37" t="s">
        <v>117</v>
      </c>
      <c r="D6" s="458" t="s">
        <v>112</v>
      </c>
      <c r="E6" s="459"/>
      <c r="F6" s="38" t="s">
        <v>91</v>
      </c>
      <c r="G6" s="456"/>
      <c r="H6" s="457"/>
      <c r="I6" s="39" t="s">
        <v>89</v>
      </c>
    </row>
    <row r="7" spans="1:23" ht="22.5" thickTop="1" thickBot="1">
      <c r="A7" s="429" t="s">
        <v>92</v>
      </c>
      <c r="B7" s="432" t="s">
        <v>93</v>
      </c>
      <c r="C7" s="429" t="s">
        <v>116</v>
      </c>
      <c r="D7" s="442" t="s">
        <v>173</v>
      </c>
      <c r="E7" s="443"/>
      <c r="F7" s="41" t="s">
        <v>87</v>
      </c>
      <c r="G7" s="436" t="s">
        <v>87</v>
      </c>
      <c r="H7" s="437"/>
      <c r="I7" s="422" t="s">
        <v>94</v>
      </c>
    </row>
    <row r="8" spans="1:23" ht="17.25" thickBot="1">
      <c r="A8" s="430"/>
      <c r="B8" s="433"/>
      <c r="C8" s="430"/>
      <c r="D8" s="444"/>
      <c r="E8" s="445"/>
      <c r="F8" s="425" t="s">
        <v>87</v>
      </c>
      <c r="G8" s="40" t="s">
        <v>95</v>
      </c>
      <c r="H8" s="42" t="s">
        <v>96</v>
      </c>
      <c r="I8" s="423"/>
    </row>
    <row r="9" spans="1:23" ht="17.25" thickBot="1">
      <c r="A9" s="430"/>
      <c r="B9" s="433"/>
      <c r="C9" s="435"/>
      <c r="D9" s="446"/>
      <c r="E9" s="447"/>
      <c r="F9" s="426"/>
      <c r="G9" s="40" t="s">
        <v>76</v>
      </c>
      <c r="H9" s="42" t="s">
        <v>97</v>
      </c>
      <c r="I9" s="423"/>
    </row>
    <row r="10" spans="1:23" ht="100.5" customHeight="1" thickBot="1">
      <c r="A10" s="430"/>
      <c r="B10" s="434"/>
      <c r="C10" s="43" t="s">
        <v>118</v>
      </c>
      <c r="D10" s="427" t="s">
        <v>90</v>
      </c>
      <c r="E10" s="428"/>
      <c r="F10" s="44" t="s">
        <v>91</v>
      </c>
      <c r="G10" s="43" t="s">
        <v>98</v>
      </c>
      <c r="H10" s="45" t="s">
        <v>99</v>
      </c>
      <c r="I10" s="424"/>
    </row>
    <row r="11" spans="1:23" ht="51" thickTop="1" thickBot="1">
      <c r="A11" s="431"/>
      <c r="B11" s="46" t="s">
        <v>100</v>
      </c>
      <c r="C11" s="438" t="s">
        <v>101</v>
      </c>
      <c r="D11" s="439"/>
      <c r="E11" s="440"/>
      <c r="F11" s="43" t="s">
        <v>101</v>
      </c>
      <c r="G11" s="441" t="s">
        <v>101</v>
      </c>
      <c r="H11" s="440"/>
      <c r="I11" s="47" t="s">
        <v>102</v>
      </c>
    </row>
    <row r="12" spans="1:23" ht="17.25" thickTop="1"/>
    <row r="13" spans="1:23" ht="27.75">
      <c r="A13" s="49" t="s">
        <v>114</v>
      </c>
      <c r="B13" s="50"/>
      <c r="C13" s="50"/>
      <c r="D13" s="50"/>
      <c r="E13" s="50"/>
      <c r="F13" s="50"/>
      <c r="G13" s="50"/>
      <c r="H13" s="50"/>
      <c r="I13" s="51" t="s">
        <v>103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20.25" customHeight="1">
      <c r="A14" s="49"/>
      <c r="B14" s="50"/>
      <c r="C14" s="50"/>
      <c r="D14" s="50"/>
      <c r="E14" s="50"/>
      <c r="F14" s="50"/>
      <c r="G14" s="50"/>
      <c r="H14" s="50"/>
      <c r="I14" s="51" t="s">
        <v>120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ht="28.5" customHeight="1">
      <c r="A16" s="52" t="s">
        <v>119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</row>
    <row r="17" spans="1:23" ht="28.5" customHeight="1">
      <c r="A17" s="52" t="s">
        <v>113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spans="1:23" ht="28.5" customHeight="1">
      <c r="A18" s="52" t="s">
        <v>104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spans="1:23" ht="28.5" customHeight="1">
      <c r="A19" s="52" t="s">
        <v>105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3" ht="28.5" customHeight="1">
      <c r="A20" s="52" t="s">
        <v>106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pans="1:23" ht="28.5" customHeight="1">
      <c r="A21" s="52" t="s">
        <v>107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1:23" ht="28.5" customHeight="1">
      <c r="A22" s="52" t="s">
        <v>108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spans="1:23" ht="28.5" customHeight="1">
      <c r="A23" s="52" t="s">
        <v>109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</row>
    <row r="24" spans="1:23" ht="28.5" customHeight="1">
      <c r="A24" s="52" t="s">
        <v>178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spans="1:23" ht="28.5" customHeight="1">
      <c r="A25" s="52" t="s">
        <v>174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1:23" ht="28.5" customHeight="1">
      <c r="A26" s="52" t="s">
        <v>175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spans="1:23" ht="28.5" customHeight="1">
      <c r="A27" s="52" t="s">
        <v>110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spans="1:23" ht="28.5" customHeight="1">
      <c r="A28" s="52" t="s">
        <v>176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31" spans="1:23" ht="21">
      <c r="E31" s="69"/>
    </row>
  </sheetData>
  <sheetProtection password="CF32" sheet="1" objects="1" scenarios="1"/>
  <mergeCells count="22">
    <mergeCell ref="A2:I2"/>
    <mergeCell ref="A3:A4"/>
    <mergeCell ref="B3:B4"/>
    <mergeCell ref="C3:H3"/>
    <mergeCell ref="I3:I4"/>
    <mergeCell ref="C4:E4"/>
    <mergeCell ref="G4:H4"/>
    <mergeCell ref="A5:A6"/>
    <mergeCell ref="B5:B6"/>
    <mergeCell ref="D5:E5"/>
    <mergeCell ref="G5:H6"/>
    <mergeCell ref="D6:E6"/>
    <mergeCell ref="I7:I10"/>
    <mergeCell ref="F8:F9"/>
    <mergeCell ref="D10:E10"/>
    <mergeCell ref="A7:A11"/>
    <mergeCell ref="B7:B10"/>
    <mergeCell ref="C7:C9"/>
    <mergeCell ref="G7:H7"/>
    <mergeCell ref="C11:E11"/>
    <mergeCell ref="G11:H11"/>
    <mergeCell ref="D7:E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單日或連續差單</vt:lpstr>
      <vt:lpstr>三日內非連續差單</vt:lpstr>
      <vt:lpstr>差旅車資查詢表</vt:lpstr>
      <vt:lpstr>旅費支領標準一覽表</vt:lpstr>
      <vt:lpstr>旅費支領標準一覽表!_GoBack</vt:lpstr>
      <vt:lpstr>單日或連續差單!Print_Area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hyes</dc:creator>
  <cp:lastModifiedBy>User</cp:lastModifiedBy>
  <cp:lastPrinted>2017-02-10T05:51:08Z</cp:lastPrinted>
  <dcterms:created xsi:type="dcterms:W3CDTF">2008-05-23T05:47:36Z</dcterms:created>
  <dcterms:modified xsi:type="dcterms:W3CDTF">2017-03-31T02:48:31Z</dcterms:modified>
</cp:coreProperties>
</file>